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<sst xmlns="http://schemas.openxmlformats.org/spreadsheetml/2006/main" count="19346" uniqueCount="7923">
  <si>
    <t>Uploaded Date</t>
  </si>
  <si>
    <t>Channel</t>
  </si>
  <si>
    <t>Video URL</t>
  </si>
  <si>
    <t>Video Title</t>
  </si>
  <si>
    <t>Description</t>
  </si>
  <si>
    <t>Base URL</t>
  </si>
  <si>
    <t>Divider1</t>
  </si>
  <si>
    <t>Divider2</t>
  </si>
  <si>
    <t>Folder separator</t>
  </si>
  <si>
    <t>Youtube id</t>
  </si>
  <si>
    <t>End URL</t>
  </si>
  <si>
    <t>Transcript Link</t>
  </si>
  <si>
    <t>2023 06 05</t>
  </si>
  <si>
    <t>NASA's Kennedy Space Center</t>
  </si>
  <si>
    <t>https://youtu.be/jel6l1EQJw8</t>
  </si>
  <si>
    <t>NASA's SpaceX CRS-28 Spacecraft Separation</t>
  </si>
  <si>
    <t>SpaceX's Dragon spacecraft successfully separates from the second stage of the company's Falcon 9 rocket during NASA's SpaceX 28th commercial resupply services mission to the International Space Station. Liftoff occurred at 11:47 a.m. EDT on June 5, 2023, from NASA Kennedy Space Center's Launch Complex 39A in Florida.</t>
  </si>
  <si>
    <t>https://files.afu.se/Downloads/Transcripts/0%20-%20Government/USA%20-%20NASA%20Kennedy/</t>
  </si>
  <si>
    <t xml:space="preserve"> - </t>
  </si>
  <si>
    <t>_</t>
  </si>
  <si>
    <t>/</t>
  </si>
  <si>
    <t>jel6l1EQJw8</t>
  </si>
  <si>
    <t xml:space="preserve"> - transcript (automated).pdf</t>
  </si>
  <si>
    <t>https://youtu.be/VaBjH9Z6qzM</t>
  </si>
  <si>
    <t>NASA's SpaceX CRS-28 Broadcast Begins</t>
  </si>
  <si>
    <t>Live launch coverage begins for NASA and SpaceX's 28th commercial resupply services mission to the International Space Station on June 5, 2023. SpaceX's Falcon 9 rocket, with the company's Dragon spacecraft atop, lifted off from Kennedy Space Center's Launch Complex 39A in Florida at 11:47 a.m. EDT to deliver about 7,000 pounds of science, equipment, and supplies to the orbiting laboratory.</t>
  </si>
  <si>
    <t>VaBjH9Z6qzM</t>
  </si>
  <si>
    <t>2023 04 25</t>
  </si>
  <si>
    <t>https://youtu.be/7k8hexcqz_M</t>
  </si>
  <si>
    <t>2023 Kennedy Space Center Update</t>
  </si>
  <si>
    <t>Janet Petro, director of NASA's Kennedy Space Center, provides a special aerial tour of the Florida spaceport to update you on what's happening in 2023 and beyond. For more information, visit https://www.nasa.gov/content/kennedy-space-center-community-leaders-update or https://nasa.gov/kennedy.</t>
  </si>
  <si>
    <t>7k8hexcqz_M</t>
  </si>
  <si>
    <t>2023 03 15</t>
  </si>
  <si>
    <t>https://youtu.be/AXGGQdw-zzA</t>
  </si>
  <si>
    <t>NASA's SpaceX CRS-27 Mission  Spacecraft Separation</t>
  </si>
  <si>
    <t>SpaceX's Dragon spacecraft successfully separates from the second stage during NASA's SpaceX CRS-27 mission to the International Space Station. Liftoff, from Kennedy Space Center's Launch Complex 39A in Florida, was at 8:30 p.m. EDT March 14, 2023.</t>
  </si>
  <si>
    <t>AXGGQdw-zzA</t>
  </si>
  <si>
    <t>https://youtu.be/07qDIC68wds</t>
  </si>
  <si>
    <t>Launch of NASA's SpaceX CRS-27 Mission from Kennedy Space Center</t>
  </si>
  <si>
    <t>SpaceX's Falcon 9 rocket, with the company's uncrewed Dragon spacecraft on top, lifted off from NASA's Kennedy Space Center in Florida right on time, at 8:30 p.m. EDT.</t>
  </si>
  <si>
    <t>07qDIC68wds</t>
  </si>
  <si>
    <t>https://youtu.be/Nf5HU1LgO2A</t>
  </si>
  <si>
    <t>NASA's SpaceX CRS-27 Mission  Broadcast Begins</t>
  </si>
  <si>
    <t>The broadcast for launch of NASA's SpaceX 27th commercial resupply services mission to the International Space Station begins live from Kennedy Space Center in Florida.</t>
  </si>
  <si>
    <t>Nf5HU1LgO2A</t>
  </si>
  <si>
    <t>2023 03 14</t>
  </si>
  <si>
    <t>https://youtu.be/O7dNT2qA1dw</t>
  </si>
  <si>
    <t>This is the Artemis Generation</t>
  </si>
  <si>
    <t>It’s a new era of pioneers, star sailors, and adventurers. The #Artemis Generation will go to the Moon to prepare us for Mars. 
We are going. 
https://nasa.gov/artemis  
Credit: @NASA  
#StateOfNASA</t>
  </si>
  <si>
    <t>O7dNT2qA1dw</t>
  </si>
  <si>
    <t>2023 03 02</t>
  </si>
  <si>
    <t>https://youtu.be/aafdQuVxQnY</t>
  </si>
  <si>
    <t>NASA SpaceX Crew-6 Prelaunch and Launch Highlights</t>
  </si>
  <si>
    <t>Featured highlights of the SpaceX Crew-6 prelaunch milestones and launch. The SpaceX Falcon 9 rocket and Crew Dragon Endurance lifted off from Launch Complex 39A at NASA's Kennedy Space Center in Florida at 12:34 a.m. EST on March 2, 2023. Onboard the Dragon Endeavour spacecraft are NASA astronauts Stephen Bowen and Warren Hoburg, along with UAE (United Arab Emirates) astronaut Sultan Alneyadi and Roscosmos cosmonaut Andrey Fedyaev for the mission to the International Space Station.</t>
  </si>
  <si>
    <t>aafdQuVxQnY</t>
  </si>
  <si>
    <t>https://youtu.be/obf1VDbfclI</t>
  </si>
  <si>
    <t>NASA SpaceX Crew-6 Launches to the International Space Station</t>
  </si>
  <si>
    <t>The SpaceX Falcon 9 rocket and Crew Dragon Endurance lifted off from Launch Complex 39A at NASA's Kennedy Space Center in Florida at 12:34 a.m. EST on March 2, 2023. Onboard the Dragon Endeavour spacecraft are NASA astronauts Stephen Bowen and Warren Hoburg, along with UAE (United Arab Emirates) astronaut Sultan Alneyadi and Roscosmos cosmonaut Andrey Fedyaev for the mission to the International Space Station.</t>
  </si>
  <si>
    <t>obf1VDbfclI</t>
  </si>
  <si>
    <t>https://youtu.be/G7iryzDqWKY</t>
  </si>
  <si>
    <t>NASA SpaceX Crew-6 Astronauts Walk Out for Launch, March 2, 2023</t>
  </si>
  <si>
    <t>NASA's SpaceX Crew-6 astronauts walk out of the Neil A. Armstrong Operations and Checkout Building at NASA's Kennedy Space Center in Florida on March 1, 2023, during the second attempt at launch. The Crew-6 flight will carry NASA astronauts Stephen Bowen and Warren Hoburg, along with UAE (United Arab Emirates) astronaut Sultan Alneyadi and Roscosmos cosmonaut Andrey Fedyaev on the Dragon spacecraft, Endeavour. Launch is scheduled for 12:34 a.m. EST on March 2, 2023, to the International Space Station on SpaceX's Dragon spacecraft atop a Falcon 9 rocket.</t>
  </si>
  <si>
    <t>G7iryzDqWKY</t>
  </si>
  <si>
    <t>2023 02 27</t>
  </si>
  <si>
    <t>https://youtu.be/rQXdDfKVbNA</t>
  </si>
  <si>
    <t>NASA SpaceX Crew-6 Astronauts Walk Out for Trip to Launch Pad 39A</t>
  </si>
  <si>
    <t>NASA's SpaceX Crew-6 astronauts walk out of the Neil A. Armstrong Operations and Checkout Building at NASA's Kennedy Space Center in Florida on Feb. 26, 2023. The Crew-6 flight will carry NASA astronauts Stephen Bowen and Warren “Woody” Hoburg, along with UAE (United Arab Emirates) astronaut Sultan Alneyadi and Roscosmos cosmonaut Andrey Fedyaev on the Dragon spacecraft, Endeavour. They are preparing to greet family and friends before boarding Tesla Model X cars that will take them to Launch Complex 39A. Launch is scheduled for 1:45 a.m. EST on Feb. 27, 2023, to the International Space Station on SpaceX's Dragon spacecraft atop a Falcon 9 rocket.</t>
  </si>
  <si>
    <t>rQXdDfKVbNA</t>
  </si>
  <si>
    <t>https://youtu.be/YugU_jgcrAg</t>
  </si>
  <si>
    <t>NASA's SpaceX Crew-6 Broadcast Begins</t>
  </si>
  <si>
    <t>NASA's SpaceX Crew-6 launch broadcast begins at 10:15 p.m. EST on Feb. 26, 2023. The Crew-6 astronauts will launch to the International Space Station on SpaceX's Dragon spacecraft on a Falcon 9 rocket from Launch Complex 39A at NASA's Kennedy Space Center in Florida. The Crew-6 flight will carry NASA astronauts Stephen Bowen and Warren “Woody” Hoburg, along with UAE (United Arab Emirates) astronaut Sultan Alneyadi and Roscosmos cosmonaut Andrey Fedyaev on SpaceX’s Dragon Endeavour. Liftoff is targeted for 1:45 a.m. EST on Feb. 27, 2023.</t>
  </si>
  <si>
    <t>YugU_jgcrAg</t>
  </si>
  <si>
    <t>2023 02 03</t>
  </si>
  <si>
    <t>https://youtu.be/PbYHh1gvt08</t>
  </si>
  <si>
    <t>Kennedy’s Swamp Works Celebrates a Decade of Discoveries</t>
  </si>
  <si>
    <t>This year, we celebrate the tenth anniversary of NASA Kennedy Space Center’s Swamp Works. Swamp Works was developed as a space devoted to innovation and collaboration across Kennedy’s research facilities, which include the granular mechanics and regolith operations (GMRO), applied chemistry, electrostatics and surface physics, and applied physics laboratories.
As NASA prepares to return to the Moon, the technologies developed at Swamp Works are playing a major role across multiple programs at the agency. These advancements will help provide humans with the capabilities that will be needed for living and exploring on the surfaces of the Moon, and one day, Mars.</t>
  </si>
  <si>
    <t>PbYHh1gvt08</t>
  </si>
  <si>
    <t>2023 01 10</t>
  </si>
  <si>
    <t>https://youtu.be/tizJ-w3lljY</t>
  </si>
  <si>
    <t>Poll for NASA's Artemis I Launch</t>
  </si>
  <si>
    <t>Launch Director Charlie Blackwell-Thompson polls the launch team during countdown leading up to liftoff of the agency's Artemis I mission. NASA's Space Launch System rocket and Orion spacecraft lifted off from Kennedy Space Center's Launch Pad 39B on Nov. 16, 2022, at 1:47 a.m. Eastern.</t>
  </si>
  <si>
    <t>tizJ-w3lljY</t>
  </si>
  <si>
    <t>2023 01 06</t>
  </si>
  <si>
    <t>https://youtu.be/x61JwR6HwCw</t>
  </si>
  <si>
    <t>NASA’s Commercial Crew Program  Leading the Way in Human Spaceflight</t>
  </si>
  <si>
    <t>For more than a decade, NASA’s groundbreaking Commercial Crew Program (CCP) has led the way toward a new era in human spaceflight, impacting the agency and industry in tremendous ways. Together with commercial partners Boeing and SpaceX, CCP is delivering on its goal to provide safe, reliable, and cost-effective human space transportation to and from the International Space Station in low-Earth orbit, enabling NASA to maximize station utilization, and highlighting the benefits of NASA’s commercial model with industry.</t>
  </si>
  <si>
    <t>x61JwR6HwCw</t>
  </si>
  <si>
    <t>2022 12 16</t>
  </si>
  <si>
    <t>https://youtu.be/M6lgw1KKAw4</t>
  </si>
  <si>
    <t>LSP Launch Manager Omar Baez Shares Memories after Launch of SWOT</t>
  </si>
  <si>
    <t>Omar Baez, senior launch manager, Launch Services Program, talks with Megan Cruz, NASA Communications, after the successful launch of the Surface Water and Ocean Topography (SWOT) mission from Vandenberg Space Force Base in California on Dec. 16, 2022. Liftoff of the SpaceX Falcon 9 rocket carrying SWOT occurred at 3:46 a.m. PST from Space Launch Complex 4-East at Vandenberg. This is Omar's final mission before he retires from NASA. A collaboration between NASA and the French space agency Centre National d’Études Spatiales (CNES), with contributions from the Canadian Space Agency and the UK Space Agency, SWOT will be the first satellite to survey nearly all water on Earth’s surface. The satellite will help researchers understand how much water flows in and out of Earth’s freshwater bodies and will provide insight into the ocean’s role in climate change. The instruments onboard will measure the height of water in lakes, rivers, reservoirs, and the ocean, and will observe ocean features in higher definition than ever before. NASA’s Launch Services Program, based at the agency’s Kennedy Space Center in Florida, is managing the launch service.</t>
  </si>
  <si>
    <t>M6lgw1KKAw4</t>
  </si>
  <si>
    <t>https://youtu.be/v9TVkRx12OI</t>
  </si>
  <si>
    <t>SWOT Spacecraft Separates from the SpaceX Falcon 9 Second Stage</t>
  </si>
  <si>
    <t>The Surface Water and Ocean Topography (SWOT) spacecraft has separated from the Falcon 9 rocket’s second stage, beginning the first mission dedicated to surveying nearly all water on Earth’s surface. SWOT launched on the Falcon 9 rocket at 3:46 a.m. on Dec. 16, 2022. SWOT will be NASA’s first global survey of nearly all water on Earth’s surface. Scientists plan to use its observations to better understand the global water cycle, furnish insight into the ocean’s role in how climate change unfolds, and provide a global inventory of water resources. The SWOT mission is a collaborative effort between NASA and the French space agency Centre National d’Études Spatiales (CNES) with contributions from the Canadian Space Agency and the UK Space Agency. NASA’s Launch Services Program, based at the agency’s Kennedy Space Center in Florida, is managing the launch service.</t>
  </si>
  <si>
    <t>v9TVkRx12OI</t>
  </si>
  <si>
    <t>https://youtu.be/ExBBwTzthnw</t>
  </si>
  <si>
    <t>SWOT Launches on a SpaceX Falcon 9 Rocket</t>
  </si>
  <si>
    <t>The SpaceX Falcon 9 rocket, carrying the Surface Water and Ocean Topography (SWOT) satellite, lifts off from Space Launch Complex-4 East at Vandenberg Space Force Base in California on Dec. 16, 2022, at 3:46 a.m. PST. A collaboration between NASA and the French space agency Centre National d’Études Spatiales (CNES), with contributions from the Canadian Space Agency and the UK Space Agency, SWOT will be the first satellite to survey nearly all water on Earth’s surface. The satellite will help researchers understand how much water flows in and out of Earth’s freshwater bodies and will provide insight into the ocean’s role in climate change. The instruments onboard will measure the height of water in lakes, rivers, reservoirs, and the ocean, and will observe ocean features in higher definition than ever before. NASA’s Launch Services Program, based at the agency’s Kennedy Space Center in Florida, is managing the launch service.</t>
  </si>
  <si>
    <t>ExBBwTzthnw</t>
  </si>
  <si>
    <t>https://youtu.be/hhs3N4DePyk</t>
  </si>
  <si>
    <t>SWOT Launch Broadcast Begins</t>
  </si>
  <si>
    <t>The live broadcast begins for the launch of the Surface Water and Ocean Topography (SWOT) mission from Vandenberg Space Force Base in California on Dec. 16, 2022. The SWOT mission is a collaborative effort between NASA and the French space agency Centre d’Études Spatiales (CNES), with contributions from the Canadian Space Agency and the UK Space Agency.</t>
  </si>
  <si>
    <t>hhs3N4DePyk</t>
  </si>
  <si>
    <t>2022 12 01</t>
  </si>
  <si>
    <t>https://youtu.be/fhaWaGZJaCw</t>
  </si>
  <si>
    <t>Orion in 360 Degrees</t>
  </si>
  <si>
    <t>Get a 360 degree view of the inside of Orion's crew module, showcasing some of the payloads flying as part of the Artemis I mission. NASA's Space Launch System and Orion spacecraft lifted off from Kennedy Space Center's Launch Pad 39B in Florida on Nov. 16, 2022, becoming our nation's first step toward returning humanity to the Moon.</t>
  </si>
  <si>
    <t>fhaWaGZJaCw</t>
  </si>
  <si>
    <t>2022 11 26</t>
  </si>
  <si>
    <t>https://youtu.be/xxDM77e9kXI</t>
  </si>
  <si>
    <t>NASA's SpaceX 26th Commercial Resupply Services Mission  Spacecraft Separation</t>
  </si>
  <si>
    <t>SpaceX's Dragon cargo spacecraft separates from the second stage of the company's Falcon 9 rocket after a successful launch from NASA's Kennedy Space Center in Florida on the 26th commercial resupply services mission to the International Space Station. Launch took place from Kennedy's Launch Pad 39A at 2:20 p.m. EST on Saturday, Nov. 26, 2022.</t>
  </si>
  <si>
    <t>xxDM77e9kXI</t>
  </si>
  <si>
    <t>https://youtu.be/JzfZD8nimV4</t>
  </si>
  <si>
    <t>NASA's SpaceX 26th Commercial Resupply Services Mission  Launch</t>
  </si>
  <si>
    <t>NASA and SpaceX launch the 26th commercial resupply services mission to the International Space Station. Launch of the SpaceX Falcon 9 rocket took place from Kennedy's Launch Pad 39A at 2:20 p.m. EST on Saturday, Nov. 26, 2022.</t>
  </si>
  <si>
    <t>JzfZD8nimV4</t>
  </si>
  <si>
    <t>https://youtu.be/3qveASgrpA8</t>
  </si>
  <si>
    <t>NASA's SpaceX 26th Commercial Resupply Services Mission  Broadcast Open</t>
  </si>
  <si>
    <t>NASA opens its broadcast coverage for the 26th commercial resupply services mission to the International Space Station on Saturday, Nov. 26, 2022.</t>
  </si>
  <si>
    <t>3qveASgrpA8</t>
  </si>
  <si>
    <t>2022 11 23</t>
  </si>
  <si>
    <t>https://youtu.be/9m9ozFud1UE</t>
  </si>
  <si>
    <t>Post-Artemis Launch Look at Pad 39B</t>
  </si>
  <si>
    <t>Drone footage of launch pad 39B and the mobile launcher after the successful launch of the Artemis I mission on Nov. 16, 2022. Engineers determined the overall mobile launcher and pad systems all performed as designed during launch and are structurally sound.</t>
  </si>
  <si>
    <t>9m9ozFud1UE</t>
  </si>
  <si>
    <t>2022 11 22</t>
  </si>
  <si>
    <t>https://youtu.be/LOEE85wuY1M</t>
  </si>
  <si>
    <t>NASA opens its broadcast coverage for the 26th commercial resupply services mission to the International Space Station.</t>
  </si>
  <si>
    <t>LOEE85wuY1M</t>
  </si>
  <si>
    <t>2022 11 21</t>
  </si>
  <si>
    <t>https://youtu.be/aWCCNYJV3Zw</t>
  </si>
  <si>
    <t>Slow Motion Liftoff of NASA's Artemis I Moon Rocket</t>
  </si>
  <si>
    <t>NASA’s Space Launch System and Orion spacecraft launched from launch pad 39B for the Artemis I mission on November 16. This is an uncrewed flight test that will demonstrate the ability of the SLS rocket to safely carry the Orion spacecraft around the Moon and its return and recovery to Earth for the agency’s Artemis Program.</t>
  </si>
  <si>
    <t>aWCCNYJV3Zw</t>
  </si>
  <si>
    <t>2022 11 16</t>
  </si>
  <si>
    <t>https://youtu.be/VUiEdqcLg-k</t>
  </si>
  <si>
    <t>NASA's Artemis I Launches on Nov. 16, 2022</t>
  </si>
  <si>
    <t>NASA's Space Launch System and Orion spacecraft lift off on Artemis I from Launch Complex 39B at Kennedy Space Center in Florida on Nov. 16, 2022, at 1:47 a.m. EST.  The primary goal of Artemis I is to thoroughly test the integrated systems before crewed missions by operating the spacecraft in a deep space environment, testing Orion’s heat shield, and recovering the crew module after reentry, descent, and splashdown.</t>
  </si>
  <si>
    <t>VUiEdqcLg-k</t>
  </si>
  <si>
    <t>https://youtu.be/gJUip5d66fw</t>
  </si>
  <si>
    <t>Artemis I Launch Director Addresses the Launch Team</t>
  </si>
  <si>
    <t>Charlie Blackwell-Thompson, Artemis I Launch Director, addresses the team in the Launch Control Center at NASA's Kennedy Space Center after the successful launch of Artemis I from the spaceport's Launch Pad 39B at 1:47 a.m. EST on Wednesday, Nov. 16, 2022.</t>
  </si>
  <si>
    <t>gJUip5d66fw</t>
  </si>
  <si>
    <t>https://youtu.be/OB_MnVgA-C0</t>
  </si>
  <si>
    <t>Artemis I Launch Control Status Update</t>
  </si>
  <si>
    <t>Derrol Nail, NASA Communications, provides a status update during the launch countdown of Artemis I from Launch Complex 39B at Kennedy Space Center. The two-hour launch window for the Artemis I Moon mission opens at 1:04 a.m. EST Nov. 16, 2022.</t>
  </si>
  <si>
    <t>OB_MnVgA-C0</t>
  </si>
  <si>
    <t>https://youtu.be/ZhvFXN8T8X0</t>
  </si>
  <si>
    <t>Red Crew is sent to Pad 39B</t>
  </si>
  <si>
    <t>During Artemis I tanking, the Red Crew was sent to Launch Pad 39B to make an unplanned change to a replenish valve on the liquid hydrogen side.</t>
  </si>
  <si>
    <t>ZhvFXN8T8X0</t>
  </si>
  <si>
    <t>https://youtu.be/YCttfniepys</t>
  </si>
  <si>
    <t>Artemis I Launch Broadcast Begins</t>
  </si>
  <si>
    <t>Megan Cruz of NASA Communications and NASA astronaut Kayla Barron open the agency's live coverage of the launch of Artemis I at Kennedy Space Center in Florida. The two-hour launch window for the Artemis I Moon mission opens at 1:04 a.m. EST on Wednesday, Nov. 16.</t>
  </si>
  <si>
    <t>YCttfniepys</t>
  </si>
  <si>
    <t>2022 10 05</t>
  </si>
  <si>
    <t>https://youtu.be/-Y8jrH-IAuE</t>
  </si>
  <si>
    <t>NASA SpaceX Crew-5 Prelaunch and Launch Highlights</t>
  </si>
  <si>
    <t>Featured highlights of the SpaceX Crew-5 prelaunch milestones and launch. NASA astronauts Nicole Aunapu Mann and Josh Cassada, JAXA (Japan Aerospace Exploration Agency) astronaut Koichi Wakata, and Roscosmos cosmonaut Anna Kikina are on their way to the International Space Station, following the picture-perfect launch of the agency’s SpaceX Crew-5 mission. SpaceX’s Crew Dragon Endurance spacecraft launched atop the company’s Falcon 9 rocket from Kennedy Space Center’s Launch Complex 39A in Florida at noon EDT.</t>
  </si>
  <si>
    <t>-Y8jrH-IAuE</t>
  </si>
  <si>
    <t>https://youtu.be/juvexqBPyNo</t>
  </si>
  <si>
    <t>NASA SpaceX Crew-5 Launches to the International Space Station</t>
  </si>
  <si>
    <t>The SpaceX Falcon 9 rocket and Crew Dragon Endurance lifted off from Launch Complex 39A at NASA's Kennedy Space Center in Florida at noon EDT on Oct. 5, 2022. Onboard the Dragon spacecraft are NASA astronauts Nicole Aunapu Mann and Josh Cassada, JAXA (Japan Aerospace Exploration Agency) astronaut Koichi Wakata, and Roscosmos cosmonaut Anna Kikina for the mission to the International Space Station.</t>
  </si>
  <si>
    <t>juvexqBPyNo</t>
  </si>
  <si>
    <t>https://youtu.be/vShQYEs1M4M</t>
  </si>
  <si>
    <t>NASA Space X Crew-5 Astronauts Walk Across the Crew Access Arm at Launch Pad 39A</t>
  </si>
  <si>
    <t>The SpaceX Crew-5 astronauts walk across the crew access arm on Launch Pad 39A at Kennedy Space Center in Florida on Oct. 5, 2022, leading to the SpaceX Crew Dragon spacecraft. The Crew-5 flight will carry NASA astronauts Nicole Aunapu Mann and Josh Cassada, JAXA (Japan Aerospace Exploration Agency) astronaut Koichi Wakata, and Roscosmos cosmonaut Anna Kikina on the Dragon spacecraft, Endurance. Launch is scheduled for noon EDT to the International Space Station on SpaceX's Dragon spacecraft atop a Falcon 9 rocket.</t>
  </si>
  <si>
    <t>vShQYEs1M4M</t>
  </si>
  <si>
    <t>https://youtu.be/eeoiI1rslyA</t>
  </si>
  <si>
    <t>NASA SpaceX Crew-5 Astronauts Walk Out for Trip to Launch Pad 39A</t>
  </si>
  <si>
    <t>NASA's SpaceX Crew-5 astronauts walk out of the Neil A. Armstrong Operations and Checkout Building at NASA's Kennedy Space Center in Florida on Oct. 5, 2022. The Crew-5 flight will carry NASA astronauts Nicole Aunapu Mann and Josh Cassada, JAXA (Japan Aerospace Exploration Agency) astronaut Koichi Wakata, and Roscosmos cosmonaut Anna Kikina on the Dragon spacecraft, Endurance. They are preparing to greet family and friends before boarding Tesla Model X cars that will take them to Launch Complex 39A. Launch is scheduled for noon EDT to the International Space Station on SpaceX's Dragon spacecraft atop a Falcon 9 rocket.</t>
  </si>
  <si>
    <t>eeoiI1rslyA</t>
  </si>
  <si>
    <t>2022 08 31</t>
  </si>
  <si>
    <t>https://youtu.be/JTVS9M5xlpg</t>
  </si>
  <si>
    <t>CCP Mission Highlights</t>
  </si>
  <si>
    <t>NASA's Commercial Crew Program, based at the agency's Kennedy Space Center in Florida, completed several milestones with partners SpaceX and Boeing. SpaceX launched astronauts aboard Crew Dragons to the International Space Station, and Boeing completed a successful Orbital Flight Test-2, docking its uncrewed Starliner spacecraft to the space station.</t>
  </si>
  <si>
    <t>JTVS9M5xlpg</t>
  </si>
  <si>
    <t>https://youtu.be/DMEiZ1dAnm4</t>
  </si>
  <si>
    <t>Elliot Sugar Plantation Ruins at Kennedy Space Center</t>
  </si>
  <si>
    <t>Located on Kennedy Space Center property, Elliot Plantation is a historical 18th century landmark co-managed by NASA, the National Park Service, and the U.S. Fish and Wildlife Service. The archeological ruins still visible today include remnants of the plantation’s sugar mill, dwellings, and infrastructure.</t>
  </si>
  <si>
    <t>DMEiZ1dAnm4</t>
  </si>
  <si>
    <t>2022 08 17</t>
  </si>
  <si>
    <t>https://youtu.be/xpO4_IJINAM</t>
  </si>
  <si>
    <t>Astounding View of NASA’s Artemis I Rocket at Rollout</t>
  </si>
  <si>
    <t>Take in a unique 360-degree view of NASA’s Space Launch System rocket and Orion spacecraft – from high up in Kennedy Space Center’s Vehicle Assembly Building – as it begins its rollout to Launch Complex 39B. Targeted for launch no earlier than Aug. 29, Artemis I will mark the first integrated test of the SLS and Orion.</t>
  </si>
  <si>
    <t>xpO4_IJINAM</t>
  </si>
  <si>
    <t>2022 07 19</t>
  </si>
  <si>
    <t>https://youtu.be/eKTHNm1X7Fo</t>
  </si>
  <si>
    <t>CubeSat Launch Initiative and ELaNa Montage</t>
  </si>
  <si>
    <t>NASA's CubeSat Launch Initiative aims to inspire and develop the next generation of scientists, engineers, and technologists by offering a unique opportunity for small satellites to conduct scientific research and develop/demonstrate novel technologies in space. Take a look at some prelaunch and launch footage in this video montage of NASA's CSLI and the ELaNa missions that send those CubeSats to space.</t>
  </si>
  <si>
    <t>eKTHNm1X7Fo</t>
  </si>
  <si>
    <t>2022 07 15</t>
  </si>
  <si>
    <t>https://youtu.be/oP92I9-5u3k</t>
  </si>
  <si>
    <t>SpaceX’s 25th Resupply Services Mission  Spacecraft Separation</t>
  </si>
  <si>
    <t>SpaceX's Cargo Dragon spacecraft separates from the company's Falcon 9 rocket during NASA's SpaceX 25th commercial resupply services mission to the International Space Station.</t>
  </si>
  <si>
    <t>oP92I9-5u3k</t>
  </si>
  <si>
    <t>https://youtu.be/m1WmaRrAvfU</t>
  </si>
  <si>
    <t>SpaceX’s 25th Resupply Services Mission  Launch</t>
  </si>
  <si>
    <t>Derrol Nail of NASA Communications counts down to liftoff of SpaceX's Falcon 9 rocket, carrying the Cargo Dragon spacecraft to the International Space Station.</t>
  </si>
  <si>
    <t>m1WmaRrAvfU</t>
  </si>
  <si>
    <t>https://youtu.be/LEMWJM-sySY</t>
  </si>
  <si>
    <t>SpaceX’s 25th Resupply Services Mission  Broadcast Begins</t>
  </si>
  <si>
    <t>Megan Cruz of NASA Communications opens NASA's live coverage of SpaceX's 25th commercial resupply mission to the International Space Station.</t>
  </si>
  <si>
    <t>LEMWJM-sySY</t>
  </si>
  <si>
    <t>2022 07 12</t>
  </si>
  <si>
    <t>https://youtu.be/B1CmzK2AcQQ</t>
  </si>
  <si>
    <t>Lessons from our Leaders  Celebrating the 60th Anniversary of Kennedy Space Center</t>
  </si>
  <si>
    <t>To mark Kennedy's diamond anniversary, Center Director Janet Petro recently sat down for a special discussion with four former KSC center directors: Robert D. Cabana, William W. Parsons, Roy D. Bridges Jr., and Jay F. Honeycutt. Listen to our leaders share the highs and lows, memories, and experiences, all of which helped shape Kennedy into the nation's premier multi-user spaceport.</t>
  </si>
  <si>
    <t>B1CmzK2AcQQ</t>
  </si>
  <si>
    <t>2022 06 10</t>
  </si>
  <si>
    <t>https://youtu.be/9Gn4LyWtQwg</t>
  </si>
  <si>
    <t>Kennedy Space Center  Six Decades of Making History</t>
  </si>
  <si>
    <t>This year marks the 60th anniversary of NASA's Kennedy Space Center in Florida. Janet Petro, center director of America's multiuser spaceport, welcomes news media to the center and talks about the pride she feels as Kennedy honors the past while looking forward to the future of space exploration.</t>
  </si>
  <si>
    <t>9Gn4LyWtQwg</t>
  </si>
  <si>
    <t>2022 06 02</t>
  </si>
  <si>
    <t>https://youtu.be/I5CNP-JXJjM</t>
  </si>
  <si>
    <t>Lightning Strikes at NASA’s Kennedy Space Center</t>
  </si>
  <si>
    <t>Take a look at various lightning strikes over the years at Launch Complex 39B at NASA’s Kennedy Space Center in Florida. The event was captured by high-speed cameras stationed at the pad and mobile launcher as well as the Vehicle Assembly Building. For the images that seem to be in daylight, a special filter called a “clear day frame” was used, which provides an overlay of the raw frame on a reference image. At pad 39B, there are three, 600-foot-tall masts with overhead wires used to transmit electrical energy around the perimeter of the pad to provide lightning protection for launch vehicles as they are processed and launched from the pad. Click here to learn more about the lightning towers.</t>
  </si>
  <si>
    <t>I5CNP-JXJjM</t>
  </si>
  <si>
    <t>2022 05 19</t>
  </si>
  <si>
    <t>https://youtu.be/YoG0nRbJdkY</t>
  </si>
  <si>
    <t>NASA's Boeing OFT-2 Spacecraft Separation</t>
  </si>
  <si>
    <t>Boeing's uncrewed CST-100 Starliner spacecraft separates from the United Launch Alliance Atlas V rocket as it continues its journey to the International Space Station on Orbital Flight Test-2 (OFT-2) for the agency's Commercial Crew Program. Liftoff occurred at 6:54 p.m. EDT on May 19, 2022, from Space Launch Complex-41 at Cape Canaveral Space Force Station in Florida.</t>
  </si>
  <si>
    <t>YoG0nRbJdkY</t>
  </si>
  <si>
    <t>https://youtu.be/4In3exHN5V8</t>
  </si>
  <si>
    <t>Liftoff of NASA's Boeing Orbital Flight Test-2</t>
  </si>
  <si>
    <t>Boeing's uncrewed CST-100 Starliner lifted off atop a United Launch Alliance Atlas V rocket on May 19, 2022, for its Orbital Flight Test-2 (OFT-2) to the International Space Station as part of the agency's Commercial Crew Program. Liftoff occurred at 6:54 p.m. EDT from Space Launch Complex-41 at Cape Canaveral Space Force Station in Florida.</t>
  </si>
  <si>
    <t>4In3exHN5V8</t>
  </si>
  <si>
    <t>https://youtu.be/PC_NsLXHo6c</t>
  </si>
  <si>
    <t>NASA's Boeing OFT-2 Poll for Launch</t>
  </si>
  <si>
    <t>Launch conductors poll the launch team for NASA's Boeing Orbital Flight Test-2 (OFT-2) to the International Space Station on May 19, 2022. Boeing's CST-100 Starliner spacecraft is launching atop a United Launch Alliance Atlas V rocket from Space Launch Complex-41 at Cape Canaveral Space Force Station in Florida as part of the agency's Commercial Crew Program.</t>
  </si>
  <si>
    <t>PC_NsLXHo6c</t>
  </si>
  <si>
    <t>https://youtu.be/PHOBxVzCFVo</t>
  </si>
  <si>
    <t>NASA's Boeing OFT-2 Broadcast Begins</t>
  </si>
  <si>
    <t>The launch broadcast for NASA's Boeing Orbital Flight Test-2 (OFT-2) to the International Space Station begins on May 19, 2022. Boeing's CST-100 Starliner spacecraft is launching atop a United Launch Alliance Atlas V rocket from Space Launch Complex-41 at Cape Canaveral Space Force Station in Florida as part of the agency's Commercial Crew Program.</t>
  </si>
  <si>
    <t>PHOBxVzCFVo</t>
  </si>
  <si>
    <t>2022 05 04</t>
  </si>
  <si>
    <t>https://youtu.be/X11CKvSHks0</t>
  </si>
  <si>
    <t>2022 Kennedy Space Center Community Leaders Update</t>
  </si>
  <si>
    <t>Kennedy Space Center Director Janet Petro provides an update on the center and its programs for community leaders in 2022, the 60th anniversary of the Kennedy Space Center. Viewers can help celebrate the center’s Diamond Anniversary with downloadable posters and other content on the Kennedy Space Center website, by visiting https://www.nasa.gov/content/ksc-60th.</t>
  </si>
  <si>
    <t>X11CKvSHks0</t>
  </si>
  <si>
    <t>2022 04 27</t>
  </si>
  <si>
    <t>https://youtu.be/zA8hzms2UYY</t>
  </si>
  <si>
    <t>NASA SpaceX Crew-4 Prelaunch and Launch Highlights</t>
  </si>
  <si>
    <t>Featured highlights of the SpaceX Crew-4 prelaunch milestones and launch. NASA astronauts Kjell Lindgren, Robert Hines, and Jessica Watkins, and ESA (European Space Agency) astronaut Samantha Cristoforetti are on their way to the International Space Station, following the picture-perfect launch of the agency’s SpaceX Crew-4 mission. SpaceX’s Crew Dragon spacecraft, named Freedom by the crew, launched atop the company’s Falcon 9 rocket from Kennedy Space Center’s Launch Complex 39A in Florida at 3:52 a.m. EDT.</t>
  </si>
  <si>
    <t>zA8hzms2UYY</t>
  </si>
  <si>
    <t>https://youtu.be/TSHGHIXzxEM</t>
  </si>
  <si>
    <t>NASA SpaceX Crew-4 Launches to the International Space Station</t>
  </si>
  <si>
    <t>The SpaceX Falcon 9 rocket and Crew Dragon lifted off from Launch Complex 39A at NASA's Kennedy Space Center in Florida at 3:52 a.m. EDT on April 27, 2022. Onboard the Dragon spacecraft are Crew-4 astronauts Kjell Lindgren, Robert Hines, and Jessica Watkins, all NASA astronauts, along with Samantha Cristoforetti with ESA (European Space Agency) for the mission to the International Space Station.</t>
  </si>
  <si>
    <t>TSHGHIXzxEM</t>
  </si>
  <si>
    <t>https://youtu.be/1dw9gHzD1KI</t>
  </si>
  <si>
    <t>SpaceX Crew-4 Access Arm is Retracted from Dragon Spacecraft</t>
  </si>
  <si>
    <t>After a successful "GO for launch" decision, the Crew Access Arm is retracted from the SpaceX Crew-4 Dragon spacecraft at Launch Pad 39A at NASA's Kennedy Space Center in Florida on April 27, 2022. The Crew-4 flight will carry Mission Commander Kjell Lindgren, Pilot Bob Hines, and Mission Specialist Jessica Watkins, all NASA astronauts, and Mission Specialist Samantha Cristoforetti of ESA (European Space Agency) on the Dragon spacecraft, dubbed Freedom by the mission’s crew. The Crew-4 astronauts are preparing for a 3:52 a.m. EDT launch to the International Space Station on the Dragon spacecraft atop the Falcon 9 rocket.</t>
  </si>
  <si>
    <t>1dw9gHzD1KI</t>
  </si>
  <si>
    <t>https://youtu.be/CMKP9O5ZI84</t>
  </si>
  <si>
    <t>SpaceX Crew-4 Hatch is Closed on the Crew Dragon Spacecraft</t>
  </si>
  <si>
    <t>The SpaceX closeout crew closes the hatch on the Crew Dragon spacecraft and checks for hatch leaks at Launch Pad 39A at NASA's Kennedy Space Center in Florida on April 27, 2022. Inside the Crew Dragon are the NASA SpaceX Crew-4 astronauts. The Crew-4 flight will carry Mission Commander Kjell Lindgren, Pilot Bob Hines, and Mission Specialist Jessica Watkins, all NASA astronauts, and Mission Specialist Samantha Cristoforetti of ESA (European Space Agency) on the Dragon spacecraft, dubbed Freedom by the mission’s crew. The astronauts are preparing for a 3:52 a.m. EDT launch to the International Space Station on a Falcon 9 rocket from Pad 39A.</t>
  </si>
  <si>
    <t>CMKP9O5ZI84</t>
  </si>
  <si>
    <t>https://youtu.be/2tsKGNx5kP8</t>
  </si>
  <si>
    <t>NASA Space X Crew-4 Astronauts Walk Across the Crew Access Arm at Launch Pad 39A</t>
  </si>
  <si>
    <t>The SpaceX Crew-4 astronauts walk across the crew access arm on Launch Pad 39A at Kennedy Space Center in Florida on April 27, 2022, leading to the SpaceX Crew Dragon spacecraft. The Crew-4 flight will carry Mission Commander Kjell Lindgren, Pilot Bob Hines, and Mission Specialist Jessica Watkins, all NASA astronauts, and Mission Specialist Samantha Cristoforetti of ESA (European Space Agency) on the Dragon spacecraft, dubbed Freedom by the mission’s crew. The astronauts are preparing for a 3:52 a.m. EDT launch to the International Space Station on the Dragon spacecraft atop the Falcon 9 rocket.</t>
  </si>
  <si>
    <t>2tsKGNx5kP8</t>
  </si>
  <si>
    <t>https://youtu.be/DviYmK1kSSs</t>
  </si>
  <si>
    <t>NASA SpaceX Crew-4 Astronauts Arrive at Launch Pad 39A</t>
  </si>
  <si>
    <t>The SpaceX Crew-4 astronauts arrive at Launch Pad 39A at NASA's Kennedy Space Center in Florida on April 27, 2022. The Crew-4 flight will carry Mission Commander Kjell Lindgren, Pilot Bob Hines, and Mission Specialist Jessica Watkins, all NASA astronauts, and Mission Specialist Samantha Cristoforetti of ESA (European Space Agency) on the Dragon spacecraft, dubbed Freedom by the mission’s crew. The Crew-4 astronauts are preparing for a 3:52 a.m. EDT launch to the International Space Station on SpaceX's Dragon spacecraft atop a Falcon 9 rocket from Pad 39A.</t>
  </si>
  <si>
    <t>DviYmK1kSSs</t>
  </si>
  <si>
    <t>https://youtu.be/XxU880W9ioo</t>
  </si>
  <si>
    <t>NASA SpaceX Crew-4 Astronauts Walk Out for Trip to Launch Pad 39A</t>
  </si>
  <si>
    <t>The SpaceX Crew-4 astronauts walk out of the Neil A. Armstrong Operations and Checkout Building at NASA's Kennedy Space Center in Florida on April 27, 2022. The Crew-4 flight will carry Mission Commander Kjell Lindgren, Pilot Bob Hines, and Mission Specialist Jessica Watkins, all NASA astronauts, and Mission Specialist Samantha Cristoforetti of ESA (European Space Agency) on the Dragon spacecraft, dubbed Freedom by the mission’s crew. They are preparing to greet family and friends before boarding two Tesla Model X cars that will take them to Launch Complex 39A. Launch is scheduled for 3:52 a.m. EDT to the International Space Station on SpaceX's Dragon spacecraft atop a Falcon 9 rocket.</t>
  </si>
  <si>
    <t>XxU880W9ioo</t>
  </si>
  <si>
    <t>https://youtu.be/i5GmYlTCTog</t>
  </si>
  <si>
    <t>NASA SpaceXCrew-4 Suit up</t>
  </si>
  <si>
    <t>The four SpaceX Crew-4 astronauts complete suit up and checkout of their custom suits inside the Neil A. Armstrong Operations and Checkout Building suit room on April 27, 2022. The Crew-4 flight will carry Mission Commander Kjell Lindgren, Pilot Bob Hines, and Mission Specialist Jessica Watkins, all NASA astronauts, and Mission Specialist Samantha Cristoforetti of ESA (European Space Agency) on the Dragon spacecraft, dubbed Freedom by the mission’s crew. The astronauts are preparing for a 3:52 a.m. EDT launch to the International Space Station on SpaceX's Dragon spacecraft on a Falcon 9 rocket from Launch Complex 39A at NASA's Kennedy Space Center in Florida.</t>
  </si>
  <si>
    <t>i5GmYlTCTog</t>
  </si>
  <si>
    <t>https://youtu.be/NDZwhtDBICs</t>
  </si>
  <si>
    <t>NASA's SpaceX Crew-4 Broadcast Begins</t>
  </si>
  <si>
    <t>NASA's SpaceX Crew-4 launch broadcast begins at midnight on April 27, 2022. The Crew-4 astronauts will launch to the International Space Station on SpaceX's Dragon spacecraft on a Falcon 9 rocket from Launch Complex 39A at NASA's Kennedy Space Center in Florida. The Crew-4 flight will carry Mission Commander Kjell Lindgren, Pilot Bob Hines, and Mission Specialist Jessica Watkins, all NASA astronauts, and Mission Specialist Samantha Cristoforetti of ESA (European Space Agency) on the Dragon spacecraft, dubbed Freedom by the mission's crew.</t>
  </si>
  <si>
    <t>NDZwhtDBICs</t>
  </si>
  <si>
    <t>2022 04 25</t>
  </si>
  <si>
    <t>https://youtu.be/gheM670jxzQ</t>
  </si>
  <si>
    <t>Time-lapse of NASA growing peppers aboard the International Space Station for Plant Habitat-04</t>
  </si>
  <si>
    <t>NASA grew chili peppers aboard the International Space Station in the Advanced Plant Habitat for 137 days in 2021 in the Plant Habitat-04 (PH-4) experiment. PH-04 used the NuMex ‘Española Improved’ pepper, a hybrid developed by New Mexico State University. NASA astronaut Shane Kimbrough initiated the experiment on July 12, 2021. Expedition 66 flight engineer Mark Vande Hei performed the first harvest on Oct. 29, 2021 and made the second and final harvest on Nov. 26, 2021. Astronauts ate some of the peppers harvested and packaged samples for analysis. Those samples returned to Earth on April 25, 2022, along with the first mission with an entirely private crew to the space station, Axiom Mission 1 (Ax-1).
To learn more about the experiment visit:
https://www.nasa.gov/content/plant-habitat-04</t>
  </si>
  <si>
    <t>gheM670jxzQ</t>
  </si>
  <si>
    <t>2022 03 24</t>
  </si>
  <si>
    <t>https://youtu.be/n9c0kLCFqok</t>
  </si>
  <si>
    <t>Dream Chaser Ground Support Equipment Testing</t>
  </si>
  <si>
    <t>Sierra Space recently performed a test of ground support equipment with a mass simulator for the Dream Chaser spacecraft. The team practiced lifting and rotating the simulator in the Rotation, Processing, and Surge Facility at Kennedy Space Center in Florida to prepare for ground operations with the spacecraft over the course of several days. NASA selected Sierra Space as one of three U.S. companies for the Commercial Resupply Services-2 (CRS-2) contract to launch cargo missions to the International Space Station. The spaceplane will fly back to Earth and land on the runway at Kennedy’s Launch and Landing Facility, returning cargo from the station. The space station advances scientific knowledge in Earth, space, physical, and biological sciences, for the benefit of people living on our home planet, and cargo resupply from U.S. companies ensures a national capability to deliver critical science research to the microgravity laboratory.
For an extended version of the timelapse visit: https://go.nasa.gov/35aWi2g</t>
  </si>
  <si>
    <t>n9c0kLCFqok</t>
  </si>
  <si>
    <t>2022 03 02</t>
  </si>
  <si>
    <t>https://youtu.be/s-hpDoeHsJg</t>
  </si>
  <si>
    <t>NOAA's GOES-T Spacecraft Separation</t>
  </si>
  <si>
    <t>The National Oceanic and Atmospheric Administration’s (NOAA) Geostationary Operational Environmental Satellite-T (GOES-T) satellite spacecraft separates from the Centaur upper stage of the United Launch Alliance Atlas V rocket. GOES-T lifted off from Canaveral Space Force Station’s Space Launch Complex 41 at 4:38 p.m. EST, March 1, 2022. A joint effort between NASA and NOAA, GOES-T will be renamed GOES-18 once it reaches geostationary orbit, replacing GOES-17 as GOES West. It will be positioned to watch over the western contiguous United States, Alaska, Hawaii, Mexico, Central America, and the Pacific Ocean.</t>
  </si>
  <si>
    <t>s-hpDoeHsJg</t>
  </si>
  <si>
    <t>https://youtu.be/y_3zJaZOe1E</t>
  </si>
  <si>
    <t>NOAA's GOES-T Satellite Launch</t>
  </si>
  <si>
    <t>The National Oceanic and Atmospheric Administration’s (NOAA) Geostationary Operational Environmental Satellite-T (GOES-T) satellite spacecraft lifts off from Canaveral Space Force Station’s Space Launch Complex 41 at 4:38 p.m. EST, March 1, 2022, on a joint effort with NASA to help meteorologists observe and predict local weather events.</t>
  </si>
  <si>
    <t>y_3zJaZOe1E</t>
  </si>
  <si>
    <t>2022 03 01</t>
  </si>
  <si>
    <t>https://youtu.be/DUWvM46ld3Q</t>
  </si>
  <si>
    <t>Interview with LSP's Alex Terseck</t>
  </si>
  <si>
    <t>An Interview with Alex Terseck from NASA's Launch Services Program to explain the Portable Lightning Instrumentation (PLI) that helps monitor and protect launch vehicles and payloads from lightning.</t>
  </si>
  <si>
    <t>DUWvM46ld3Q</t>
  </si>
  <si>
    <t>https://youtu.be/Y2P2-fV2f0o</t>
  </si>
  <si>
    <t>NOAA's GOES-T Satellite Launch Broadcast Open</t>
  </si>
  <si>
    <t>Live launch coverage for National Oceanic and Atmospheric Administration’s (NOAA) Geostationary Operational Environmental Satellite-T (GOES-T) satellite mission begins at NASA's Kennedy Space Center in Florida. Liftoff, aboard a United Launch Alliance Atlas V 541 rocket from Cape Canaveral Space Force Station’s Launch Complex 41, occurs at 4:38 p.m. EST, on March 1, 2022.</t>
  </si>
  <si>
    <t>Y2P2-fV2f0o</t>
  </si>
  <si>
    <t>https://youtu.be/vdL8a4r44kM</t>
  </si>
  <si>
    <t>NOAA's GOES-T NASA Launch Manager Poll</t>
  </si>
  <si>
    <t>The NASA launch team is polled for readiness to launch the United Launch Alliance Atlas V 541 rocket carrying the GOES-T spacecraft, and give a "go" for liftoff. GOES-T lifted off from Canaveral Space Force Station’s Space Launch Complex 41 at 4:38 p.m. EST, March 1, 2022.</t>
  </si>
  <si>
    <t>vdL8a4r44kM</t>
  </si>
  <si>
    <t>2022 02 25</t>
  </si>
  <si>
    <t>https://youtu.be/qNpAxzg_v9E</t>
  </si>
  <si>
    <t>Watch as NASA stacks its Artemis Moon rocket at Kennedy Space Center</t>
  </si>
  <si>
    <t>NASA's new Moon rocket, the Space Launch System, was fully stacked along with the Orion Spacecraft inside the Vehicle Assembly Building at NASA's Kennedy Space Center. This rocket will be used for the Artemis I mission, which is an uncrewed flight test around of the Moon of SLS and Orion currently scheduled to launch spring 2022.</t>
  </si>
  <si>
    <t>qNpAxzg_v9E</t>
  </si>
  <si>
    <t>2022 01 20</t>
  </si>
  <si>
    <t>https://youtu.be/lrVVz1mPnYQ</t>
  </si>
  <si>
    <t>Commercial Crew Program  Embracing the Next Challenge</t>
  </si>
  <si>
    <t>NASA's Commercial Crew Program (CCP), based at the agency's Kennedy Space Center in Florida, eclipsed several milestones in 2021. This year, CCP will continue to partner with private industry in embracing the next challenge.</t>
  </si>
  <si>
    <t>lrVVz1mPnYQ</t>
  </si>
  <si>
    <t>2022 01 14</t>
  </si>
  <si>
    <t>https://youtu.be/E2b_zy0DFkg</t>
  </si>
  <si>
    <t>Artemis I RS-25 engines gimbaling inside Vehicle Assembly Building</t>
  </si>
  <si>
    <t>This time-lapse shows one of four RS-25 engines for the Artemis I mission gimbaling inside the Vehicle Assembly Building as part of integrated testing ahead of launch. This engine flew on four Space Shuttle flights and has 11 starts and 4,955 seconds of run time.</t>
  </si>
  <si>
    <t>E2b_zy0DFkg</t>
  </si>
  <si>
    <t>2022 01 13</t>
  </si>
  <si>
    <t>https://youtu.be/qXFr4Rz8QV4</t>
  </si>
  <si>
    <t>KSC at 60  Leading the Way From Mercury to Mars</t>
  </si>
  <si>
    <t>As NASA’s Kennedy Space Center marks its 60th anniversary, we honor the memory of the past while setting our sights on Mars.  2022 will be a year of celebration and a time to reflect on six decades of our many contributions to science, technology, and exploration.</t>
  </si>
  <si>
    <t>qXFr4Rz8QV4</t>
  </si>
  <si>
    <t>2021 12 27</t>
  </si>
  <si>
    <t>https://youtu.be/A0pexQImxj0</t>
  </si>
  <si>
    <t>Kennedy Countdown for Dec. 27, 2021</t>
  </si>
  <si>
    <t>SpaceX’s Falcon 9 rocket and Dragon spacecraft lifted off from Kennedy Space Center’s historic Launch Complex 39A at 5:07 a.m. Tuesday, Dec. 21. The launch marked the company’s 24th commercial resupply services mission to the International Space Station for NASA.
The spacecraft arrived at the station the next day. This launch capped off NASA’s busiest year of development yet in low-Earth orbit, with the Kennedy team supporting a total of 31 launches from the Florida space coast in 2021.</t>
  </si>
  <si>
    <t>A0pexQImxj0</t>
  </si>
  <si>
    <t>2021 12 21</t>
  </si>
  <si>
    <t>https://youtu.be/XCat2sUjy4s</t>
  </si>
  <si>
    <t>NASA's SpaceX 24th Commercial Resupply Services Mission  Spacecraft Separation</t>
  </si>
  <si>
    <t>A look at spacecraft separation during NASA's SpaceX 24th commercial resupply services mission.</t>
  </si>
  <si>
    <t>XCat2sUjy4s</t>
  </si>
  <si>
    <t>https://youtu.be/66ToNkguhtA</t>
  </si>
  <si>
    <t>NASA's SpaceX 24th Commercial Resupply Services Mission  Liftoff</t>
  </si>
  <si>
    <t>SpaceX's Falcon 9 rocket and Dragon spacecraft launched into the early-morning sky from NASA's Kennedy Space Center in Florida.</t>
  </si>
  <si>
    <t>66ToNkguhtA</t>
  </si>
  <si>
    <t>https://youtu.be/Cir0g--CdTc</t>
  </si>
  <si>
    <t>NASA's SpaceX 24th Commercial Resupply Services Mission  Broadcast Begins</t>
  </si>
  <si>
    <t>The broadcast show begins for NASA's SpaceX 24th commercial resupply services mission to the International Space Station.</t>
  </si>
  <si>
    <t>Cir0g--CdTc</t>
  </si>
  <si>
    <t>2021 12 17</t>
  </si>
  <si>
    <t>https://youtu.be/phGTKOEEtCg</t>
  </si>
  <si>
    <t>Kennedy Countdown for Dec. 17, 2021</t>
  </si>
  <si>
    <t>NASA and SpaceX are gearing up for the 24th Commercial Resupply Services mission to the International Space Station. Liftoff is targeted for Dec. 21 at 5:06 a.m. EST from Kennedy Space Center’s Launch Complex 39A. A critical simulation involving multiple NASA centers took place this week, certifying the team that will launch Artemis I on its historic mission around the Moon. 
Teams from Kennedy Space Center, Johnson Space Center, and Marshall Space Flight Center, as well as Cape Canaveral Space Force Station took part in the launch sim.</t>
  </si>
  <si>
    <t>phGTKOEEtCg</t>
  </si>
  <si>
    <t>2021 12 10</t>
  </si>
  <si>
    <t>https://youtu.be/2plQe69M-MI</t>
  </si>
  <si>
    <t>Kennedy Countdown for Dec. 10, 2021</t>
  </si>
  <si>
    <t>NASA’s Laser Communications Relay Demonstration, or LCRD, launched aboard a United Launch Alliance Atlas V rocket from Launch Complex 41 on Cape Canaveral Space Force Station in Florida on Dec. 7, at 5:19 a.m. Eastern Time, as part of the Department of Defense’s Space Test Program 3 mission. LCRD, along with another NASA payload, the Ultraviolet Spectro-Coronagraph Pathfinder, were hosted on the Space Test Program Satellite-6 spacecraft. LCRD will be NASA’s first end-to-end laser relay system and will provide significant benefits for missions, including bandwidth increases of 10 to 100 times more than radio systems.
Just two days later, NASA’s Imaging X-Ray Polarimetry Explorer, or IXPE, launched aboard a SpaceX Falcon 9 rocket from Kennedy Space Center’s Launch Complex 39A during the early morning hours on Dec. 9. IXPE is the agency’s first satellite dedicated to measuring the polarization of X-rays from a variety of cosmic sources, such as black holes and neutron stars. IXPE’s launch was managed by NASA’s Launch Services Program, based at Kennedy.</t>
  </si>
  <si>
    <t>2plQe69M-MI</t>
  </si>
  <si>
    <t>2021 12 09</t>
  </si>
  <si>
    <t>https://youtu.be/YYdnp-fXa-Q</t>
  </si>
  <si>
    <t>Imaging X-ray Polarimetry Explorer (IXPE) Spacecraft Separation</t>
  </si>
  <si>
    <t>NASA's Imaging X-ray Polarimetry Explorer (IXPE) spacecraft separates from the SpaceX Falcon 9 after launch from Kennedy Space Center in Florida, on Dec. 9, 2021. On its two-year science mission, IXPE is going to explore some of the most extreme and mysterious objects in the universe – including black holes and pulsars – and the X-rays they emit. It is the first mission that will map the polarization of many of these objects.</t>
  </si>
  <si>
    <t>YYdnp-fXa-Q</t>
  </si>
  <si>
    <t>https://youtu.be/4GNHdLTAkLU</t>
  </si>
  <si>
    <t>NASA's Imaging X-ray Polarimetry Explorer (IXPE) Fairing Separation</t>
  </si>
  <si>
    <t>NASA's Imaging X-ray Polarimetry Explorer (IXPE) payload fairing separates from the SpaceX Falcon 9 after launch from Kennedy Space Center in Florida, on Dec. 9, 2021, exposing the IXPE spacecraft to the environments of space. On its two-year science mission, IXPE will help us discover the secrets of some of the most extreme cosmic objects of the universe: the remnants of supernova explosions, neutron stars and black holes in our galaxy, and super massive black holes at the centers of galaxies.</t>
  </si>
  <si>
    <t>4GNHdLTAkLU</t>
  </si>
  <si>
    <t>https://youtu.be/CRW7eQ44t7U</t>
  </si>
  <si>
    <t>Imaging X-ray Polarimetry Explorer (IXPE) Launch</t>
  </si>
  <si>
    <t>NASA's Imaging X-ray Polarimetry Explorer (IXPE) launches from historic Launch Complex 39A at Kennedy Space Center in Florida at 1:00 a.m. EST, on Dec. 9, 2021. By providing the first-ever dedicated look at polarized X-rays, IXPE will help us discover the secrets of some of the most extreme cosmic objects of the universe: the remnants of supernova explosions, neutron stars and black holes in our galaxy, and super massive black holes at the centers of galaxies.</t>
  </si>
  <si>
    <t>CRW7eQ44t7U</t>
  </si>
  <si>
    <t>https://youtu.be/JD5jMpcBT10</t>
  </si>
  <si>
    <t>Imaging X-ray Polarimetry Explorer (IXPE) Broadcast Begins</t>
  </si>
  <si>
    <t>Live launch coverage for NASA's Imaging X-ray Polarimetry Explorer (IXPE) mission begins at Kennedy Space Center in Florida. IXPE lifts off on Dec. 9, 2021, at 1:00 a.m. EST, from historic Launch Complex 39A on its two-year science mission to study some of the most mysterious and powerful objects in our universe.</t>
  </si>
  <si>
    <t>JD5jMpcBT10</t>
  </si>
  <si>
    <t>2021 12 08</t>
  </si>
  <si>
    <t>https://youtu.be/FHpq9vKJQFU</t>
  </si>
  <si>
    <t>NASA's Laser Communications Relay Demonstration (LCRD) Launch</t>
  </si>
  <si>
    <t>NASA's Laser Communications Relay Demonstration (LCRD) mission lifts off on Dec. 7, 2021, at 5:19 a.m. EST, from Launch Complex 41 on Cape Canaveral Space Force Station (CCSFS) for the U.S. Space Force’s (USSF) Space Systems Command (SSC) Space Test Program 3 (STP-3) mission.</t>
  </si>
  <si>
    <t>FHpq9vKJQFU</t>
  </si>
  <si>
    <t>https://youtu.be/kALGpL1uFHk</t>
  </si>
  <si>
    <t>NASA's Laser Communications Relay Demonstration (LCRD) Broadcast Begins</t>
  </si>
  <si>
    <t>Live launch coverage for NASA's Laser Communications Relay Demonstration (LCRD) mission begins at Kennedy Space Center in Florida. LCRD lifts off on Dec. 7, 2021, at 5:19 a.m. EST, from Launch Complex 41 on Cape Canaveral Space Force Station (CCSFS) for the U.S. Space Force’s (USSF) Space Systems Command (SSC) Space Test Program 3 (STP-3) mission.</t>
  </si>
  <si>
    <t>kALGpL1uFHk</t>
  </si>
  <si>
    <t>2021 12 07</t>
  </si>
  <si>
    <t>https://youtu.be/vspLSxP7hmY</t>
  </si>
  <si>
    <t>Plant Research at the Extremes</t>
  </si>
  <si>
    <t>NASA and its international partners are researching crops in extreme environments. This ranges from microgravity aboard the International Space Station to growing plants in isolation during winter in Antarctica at the German Aerospace Center’s (DLR) EDEN-ISS greenhouse. On the space station, astronauts have grown, radishes, lettuce. Even the first crop of peppers, and they made tacos with fresh chile peppers.
In Antarctica, 10 polar explorers spent the winter researching closed loop environments, but they still had fresh fruit, herbs, and leafy greens available at nearly every meal. This came from a DLR greenhouse isolated on an ice shelf at the remote German Neumayer III Station, operated by the Alfred Wegener Institute (AWI).
We do this research because astronauts eat packaged foods in space. The packaged diet works well and has supported more than 20 years of people continuously living and working in space. But the nutrients degrade over time, which is a problem for future long durations missions.
We’re finding solutions that will enable astronauts to explore the Moon, Mars, and beyond. Most importantly, we’re using what we learn in space to help us here on Earth. From climate change, to food insecurity, to taking the first step in the next era of human exploration, NASA research has and will continue to benefit life on Earth. Follow along at http://www.nasa.gov/kennedy
- Imagery Courtesy of AWI, DLR and NASA
- Music Courtesy of Gothic Storm Music</t>
  </si>
  <si>
    <t>vspLSxP7hmY</t>
  </si>
  <si>
    <t>https://youtu.be/rcDTlEyb9kA</t>
  </si>
  <si>
    <t>Indian River Lagoon Health Initiative Plan</t>
  </si>
  <si>
    <t>NASA’s Kennedy Space Center in Florida, which shares land with the Merritt Island National Wildlife Refuge and the Canaveral National Seashore, long has served as an example of how technology and nature can co-exist. The center recently developed the Indian River Lagoon Health Initiative Plan (https://ntrs.nasa.gov/api/citations/20210020823/downloads/20210826_KSC-PLN-1720_Tech%20Doc.pdf) to provide a framework for Kennedy and its partners to navigate the unique relationship between the center and the Indian River Lagoon (IRL) estuary. The waterway is on and adjacent to the spaceport, and the plan proposes projects and actions directly addressing current environmental challenges.</t>
  </si>
  <si>
    <t>rcDTlEyb9kA</t>
  </si>
  <si>
    <t>2021 12 03</t>
  </si>
  <si>
    <t>https://youtu.be/rZiQgf3oF9A</t>
  </si>
  <si>
    <t>Kennedy Countdown for Dec. 3, 2021</t>
  </si>
  <si>
    <t>NASA’s Imaging X-Ray Polarimetry Explorer, or IXPE, arrived last month. Workers completed prelaunch testing and then integrated the spacecraft with the SpaceX Falcon 9 rocket. Liftoff is scheduled for December 9 from Kennedy Space Center’s Launch Complex 39A. NASA’s Laser Communications Relay Demonstration, or LCRD, moved another step closer to launch when a team of engineers attached the payload fairing containing its host satellite to a United Launch Alliance Atlas V rocket. The LCRD payload, hosted on the Department of Defense Space Test Program-3 mission, will demonstrate optical technology that could provide data rates up to 100 times better than commonly used radio frequency communications.</t>
  </si>
  <si>
    <t>rZiQgf3oF9A</t>
  </si>
  <si>
    <t>2021 11 29</t>
  </si>
  <si>
    <t>https://youtu.be/M1AfFVi5iOk</t>
  </si>
  <si>
    <t>Kennedy Countdown for Nov. 29, 2021</t>
  </si>
  <si>
    <t>NASA’s Double Asteroid Redirection Test (DART) mission is underway after a successful liftoff from Vandenberg Space Force Base in California. DART is the first mission to test technologies for preventing a hazardous asteroid from impacting our planet. Also, the rocket that will launch the Geostationary Operational Environmental Satellite T (GOES-T) is now in Florida. GOES-T is targeted to launch from Cape Canaveral’s Space Launch Complex 41 on March 1, 2022. NASA’s Launch Services Program, based at Kennedy Space Center, is managing the launches of DART and GOES-T.</t>
  </si>
  <si>
    <t>M1AfFVi5iOk</t>
  </si>
  <si>
    <t>2021 11 24</t>
  </si>
  <si>
    <t>https://youtu.be/PFPpI3AMJLc</t>
  </si>
  <si>
    <t>Double Asteroid Redirection Test (DART) Acquisition of Signal</t>
  </si>
  <si>
    <t>Teams on the ground successfully acquire a signal from NASA's Double Asteroid Redirection Test (DART) spacecraft after it successfully separated from the Falcon 9 second stage. DART lifted off from Vandenberg Space Force Base's Space Launch Complex 4 in California on Nov. 23, 2021 at 10:21 p.m. PST (Nov. 24 at 1:21 a.m. EST).</t>
  </si>
  <si>
    <t>PFPpI3AMJLc</t>
  </si>
  <si>
    <t>https://youtu.be/GrS72QDfjF4</t>
  </si>
  <si>
    <t>Double Asteroid Redirection Test (DART) Spacecraft Separation</t>
  </si>
  <si>
    <t>NASA's Double Asteroid Redirection Test (DART) spacecraft successfully separates from the Falcon 9 second stage, beginning its solo journey to the Didymos asteroid system. DART lifted off from Vandenberg Space Force Base's Space Launch Complex 4 in California on Nov. 23, 2021 at 10:21 p.m. PST (Nov. 24 at 1:21 a.m. EST).</t>
  </si>
  <si>
    <t>GrS72QDfjF4</t>
  </si>
  <si>
    <t>https://youtu.be/jj75Ptm4NRo</t>
  </si>
  <si>
    <t>Double Asteroid Redirection Test (DART) Launch</t>
  </si>
  <si>
    <t>The Falcon 9 rocket, with the Double Asteroid Redirection Test (DART) spacecraft, lifts off from Space Launch Complex 4 at Vandenberg Space Force Base in California on Nov. 23 at 10:21 p.m. PST (Nov. 24 at 1:21 a.m. EST)!</t>
  </si>
  <si>
    <t>jj75Ptm4NRo</t>
  </si>
  <si>
    <t>https://youtu.be/J2cVwjXPa_U</t>
  </si>
  <si>
    <t>DART Launch Broadcast Begins</t>
  </si>
  <si>
    <t>Live launch coverage for NASA's Double Asteroid Redirection Test (DART) mission begins at Vandenberg Space Force Base in California on Nov. 23, 2021. DART is scheduled to launch aboard a SpaceX Falcon 9 rocket from Vandenberg's Space Launch Complex 4 at 10:21 p.m. PST.</t>
  </si>
  <si>
    <t>J2cVwjXPa_U</t>
  </si>
  <si>
    <t>2021 11 19</t>
  </si>
  <si>
    <t>https://youtu.be/B_Cj80SvHKY</t>
  </si>
  <si>
    <t>Kennedy Countdown for Nov. 19, 2021</t>
  </si>
  <si>
    <t>Final preparations are underway at Vandenberg Space Force Base in California for NASA’s Double Asteroid Redirection Test, or DART, spacecraft. DART is scheduled to launch aboard a SpaceX Falcon 9 rocket from Vandenberg’s Space Launch Complex 4 at 10:21 p.m. Pacific Time on Nov. 23. The DART mission will intentionally crash the spacecraft into an asteroid to see if it is an effective way to change the asteroid’s course. Also, the Imaging X-Ray Polarimetry Explorer, or IXPE, spacecraft arrived at the Cape Canaveral Space Force Station in Florida earlier this month. NASA’s first mission of this kind, IXPE will study X-rays coming from some of the universe’s most extreme sources, including black holes and dead stars known as pulsars. Both launches are managed by NASA’s Launch Services Program, based at Kennedy.</t>
  </si>
  <si>
    <t>B_Cj80SvHKY</t>
  </si>
  <si>
    <t>2021 11 15</t>
  </si>
  <si>
    <t>https://youtu.be/eEUmiVNjb3k</t>
  </si>
  <si>
    <t>2021 - KSC is GO!</t>
  </si>
  <si>
    <t>eEUmiVNjb3k</t>
  </si>
  <si>
    <t>2021 11 12</t>
  </si>
  <si>
    <t>https://youtu.be/0QD9FamCL0c</t>
  </si>
  <si>
    <t>Kennedy Countdown for Nov. 12, 2021</t>
  </si>
  <si>
    <t>NASA's SpaceX Crew-3 mission launched to the International Space Station on Nov. 10, 2021. SpaceX's Falcon 9 rocket and Crew Dragon spacecraft lifted off from Kennedy Space Center's Launch Complex 39A at 9:03 p.m. EST, and NASA astronauts Raja Chari, Tom Marshburn, and Kayla Barron, as well as ESA (European Space Agency) astronaut Matthias Maurer arrived at the space station the following day, Nov. 11, for a six-month science mission. Also, NASA's Landing and Recovery Team became fully certified to recover the Orion spacecraft once it splashes down in the Pacific Ocean during the Artemis I mission. Artemis I is scheduled to launch from Kennedy's Launch Pad 39B in February 2022.</t>
  </si>
  <si>
    <t>0QD9FamCL0c</t>
  </si>
  <si>
    <t>2021 11 11</t>
  </si>
  <si>
    <t>https://youtu.be/KsDM59EniUA</t>
  </si>
  <si>
    <t>Crew-3 Launch Day Highlights</t>
  </si>
  <si>
    <t>Highlights from Crew-3 launch day at NASA's Kennedy Space Center in Florida on Nov. 10, 2021.</t>
  </si>
  <si>
    <t>KsDM59EniUA</t>
  </si>
  <si>
    <t>https://youtu.be/jsgf8OmdwW0</t>
  </si>
  <si>
    <t>Crew-3  Spacecraft Sep</t>
  </si>
  <si>
    <t>The Dragon spacecraft separates from the Falcon 9 rocket.</t>
  </si>
  <si>
    <t>jsgf8OmdwW0</t>
  </si>
  <si>
    <t>https://youtu.be/EVrb-caONU4</t>
  </si>
  <si>
    <t>Crew-3 Launch</t>
  </si>
  <si>
    <t>The Falcon 9 rocket, with the Crew Dragon spacecraft and four astronauts aboard, lifts off from Launch Pad 39A at NASA's Kennedy Space Center in Florida!</t>
  </si>
  <si>
    <t>EVrb-caONU4</t>
  </si>
  <si>
    <t>https://youtu.be/xfaHIZy2rkc</t>
  </si>
  <si>
    <t>Crew-3 Hatch Closure</t>
  </si>
  <si>
    <t>The hatch is closed, safely sealing Crew-3 astronauts inside the Crew Dragon spacecraft.</t>
  </si>
  <si>
    <t>xfaHIZy2rkc</t>
  </si>
  <si>
    <t>https://youtu.be/4c9z5lWA25Y</t>
  </si>
  <si>
    <t>Crew-3 Access Arm</t>
  </si>
  <si>
    <t>Crew-3 astronauts make their way through the crew access arm and stop for a little tradition in the White Room as they head toward the Crew Dragon spacecraft.</t>
  </si>
  <si>
    <t>4c9z5lWA25Y</t>
  </si>
  <si>
    <t>2021 11 10</t>
  </si>
  <si>
    <t>https://youtu.be/1puHol4ycW0</t>
  </si>
  <si>
    <t>Crew-3 Walkout</t>
  </si>
  <si>
    <t>Crew-3 astronauts walk out of Astronaut Crew Quarters, wave goodbye to their families, and depart the Neil A. Armstrong Operations and Checkout Building at NASA's Kennedy Space Center, on their way to Launch Complex 39A.</t>
  </si>
  <si>
    <t>1puHol4ycW0</t>
  </si>
  <si>
    <t>https://youtu.be/KnyBsPtDuj8</t>
  </si>
  <si>
    <t>Crew-3 Suit up</t>
  </si>
  <si>
    <t>Astronauts for NASA's SpaceX Crew-3 mission get ready in the suit-up room inside the Astronaut Crew Quarters at Kennedy Space Center.</t>
  </si>
  <si>
    <t>KnyBsPtDuj8</t>
  </si>
  <si>
    <t>https://youtu.be/laKVLFai9Gk</t>
  </si>
  <si>
    <t>Crew-3 Broadcast Begins</t>
  </si>
  <si>
    <t>The start of the Crew-3 broadcast live from NASA's Kennedy Space Center in Florida.</t>
  </si>
  <si>
    <t>laKVLFai9Gk</t>
  </si>
  <si>
    <t>2021 11 05</t>
  </si>
  <si>
    <t>https://youtu.be/1iVeJN7m1Dw</t>
  </si>
  <si>
    <t>Kennedy Countdown for Nov. 5, 2021</t>
  </si>
  <si>
    <t>The first of multiple swing arms, called umbilicals, for the mobile launcher 2 arrived at the Kennedy Space Center. The Exploration Upper Stage umbilical will provide power, communications, and propellants to the larger configuration of the SLS rocket for crew and cargo deliveries to the Moon. 
NASA astronauts Shane Kimbrough, Megan McArthur, and Mark Vande Hei – and Japan Aerospace Exploration Agency astronaut Aki Hoshide – became the first to eat peppers grown in space. The group sampled seven freshly harvested mild heat chile peppers aboard the International Space Station.</t>
  </si>
  <si>
    <t>1iVeJN7m1Dw</t>
  </si>
  <si>
    <t>2021 10 29</t>
  </si>
  <si>
    <t>https://youtu.be/H1IAT9hJcLs</t>
  </si>
  <si>
    <t>Kennedy Countdown for Oct. 29, 2021</t>
  </si>
  <si>
    <t>Astronauts for NASA’s SpaceX Crew-3 mission to the International Space Station arrived at Kennedy Space Center’s Launch and Landing Facility this week. Crew members are now in quarantine at the center’s Crew Quarters as they await launch aboard the Crew Dragon on a SpaceX Falcon 9 rocket. Launch is targeted for Oct. 31 at 2:21 EDT. 
Also, NASA’s Artemis I rocket is nearly ready to launch. NASA’s Orion spacecraft is secured on top of the agency’s Space Launch rocket inside Kennedy’s Vehicle Assembly Building.</t>
  </si>
  <si>
    <t>H1IAT9hJcLs</t>
  </si>
  <si>
    <t>https://youtu.be/JcGP7F_es-E</t>
  </si>
  <si>
    <t>A 360-degree look at the Artemis I Orion Spacecraft lift on to the Space Launch System rocket</t>
  </si>
  <si>
    <t>Get the full Orion stacking experience, and watch in 360 degrees as teams lift the final piece of the Artemis I mission in the Vehicle Assembly Building at NASA’s Kennedy Space Center. The rocket now stand 322 feet tall and will be the first launch in a series of missions to help return humanity to the Moon.</t>
  </si>
  <si>
    <t>JcGP7F_es-E</t>
  </si>
  <si>
    <t>2021 10 22</t>
  </si>
  <si>
    <t>https://youtu.be/JgjlJ1UEmAQ</t>
  </si>
  <si>
    <t>Kennedy Countdown for Oct. 22, 2021</t>
  </si>
  <si>
    <t>The rocket that will send the uncrewed Orion spacecraft on a journey around the Moon is now fully assembled at NASA's Kennedy Space Center in Florida. Teams with Exploration Ground Systems and contractor Jacobs lowered Orion onto the Space Launch System stack inside the Vehicle Assembly Building in preparation for the Artemis I launch. Also, NASA and SpaceX now are targeting Sunday, Oct. 31, for the agency's Crew-3 launch to the International Space Station. The mission will send NASA astronauts Raja Chari, Tom Marshburn, and Kayla Barron, as well as ESA (European Space Agency) astronaut Matthias Maurer to the space station for a six-month science mission. Liftoff is scheduled for 2:21 a.m. EDT from Kennedy's Launch Complex 39A.</t>
  </si>
  <si>
    <t>JgjlJ1UEmAQ</t>
  </si>
  <si>
    <t>2021 10 18</t>
  </si>
  <si>
    <t>https://youtu.be/IJ3AHhoBDIU</t>
  </si>
  <si>
    <t>Kennedy Countdown for Oct. 18, 2021</t>
  </si>
  <si>
    <t>NASA's Lucy spacecraft lifted off aboard a United Launch Alliance Atlas V rocket from Cape Canaveral Space Force Station's Space Launch Complex 41 in Florida at 5:34 a.m. EDT on Oct. 16, 2021. Over the course of 12 years, the spacecraft will visit a record-breaking number of asteroids, including one in the solar system's main belt and seven Trojan asteroids. The mission will provide researchers and scientists with a glimpse into the origins of our solar system. NASA's Launch Services Program based at Kennedy Space Center managed the launch.</t>
  </si>
  <si>
    <t>IJ3AHhoBDIU</t>
  </si>
  <si>
    <t>2021 10 16</t>
  </si>
  <si>
    <t>https://youtu.be/dbGQ37bIIHE</t>
  </si>
  <si>
    <t>Lucy Spacecraft Separation</t>
  </si>
  <si>
    <t>NASA's Lucy spacecraft successfully separates from the United Launch Alliance Atlas V Centaur upper stage, beginning its solo journey to the Trojan asteroids. Lucy lifted off at 5:34 a.m. EDT from Cape Canaveral Space Force Station's Space Launch Complex 41 in Florida on Oct. 16, 2021.</t>
  </si>
  <si>
    <t>dbGQ37bIIHE</t>
  </si>
  <si>
    <t>https://youtu.be/UXn5Yp1tt6w</t>
  </si>
  <si>
    <t>Liftoff of NASA's Lucy Spacecraft</t>
  </si>
  <si>
    <t>A United Launch Alliance Atlas V rocket, carrying NASA's Lucy spacecraft, lifts off from Cape Canaveral Space Force Station's Space Launch Complex 41 in Florida. Launch occurred at 5:34 a.m. EDT. The Lucy mission will explore the Jupiter Trojan asteroids over the course of 12 years.</t>
  </si>
  <si>
    <t>UXn5Yp1tt6w</t>
  </si>
  <si>
    <t>https://youtu.be/UFDYp_LIDC4</t>
  </si>
  <si>
    <t>Lucy Launch Poll</t>
  </si>
  <si>
    <t>Launch team members conduct a status check to proceed with terminal count for the Lucy launch on Oct. 16, 2021. The Lucy spacecraft lifted off at 5:34 a.m. EDT aboard a United Launch Alliance Atlas V rocket from Space Launch Complex 41 at Cape Canaveral Space Force Station in Florida. The Lucy spacecraft will explore the Jupiter Trojan asteroids over the course of 12 years.</t>
  </si>
  <si>
    <t>UFDYp_LIDC4</t>
  </si>
  <si>
    <t>https://youtu.be/1zIcJ-pzTQ8</t>
  </si>
  <si>
    <t>Lucy Launch Broadcast Begins</t>
  </si>
  <si>
    <t>Live launch coverage for NASA's Lucy mission begins at the agency's Kennedy Space Center in Florida on Oct. 16, 2021. Lucy is scheduled to launch aboard a United Launch Alliance Atlas V rocket from Cape Canaveral Space Force Station's Space Launch Complex 41. Liftoff was at 5:34 a.m. EDT.</t>
  </si>
  <si>
    <t>1zIcJ-pzTQ8</t>
  </si>
  <si>
    <t>2021 10 08</t>
  </si>
  <si>
    <t>https://youtu.be/7x8akihavis</t>
  </si>
  <si>
    <t>Kennedy Countdown for Friday, Oct. 8, 2021</t>
  </si>
  <si>
    <t>NASA is making final preparations for launch of the Lucy spacecraft on its epic 12-year mission to study the solar system’s Trojan asteroids. This week, teams completed encapsulation of the payload fairing around the spacecraft. Launch is set for 5:34 a.m. EDT on Saturday, Oct. 16, from Space Launch Complex 41 at Cape Canaveral Space Force Station.
This week is Fire Prevention Week. As part of this year’s “Learn the Sounds of Fire Safety” campaign, Kennedy Space Center has tips on how to make fire safety a priority at home. Test smoke alarms and carbon monoxide alarms at least once a month using the test button and follow the manufacturer’s maintenance instructions.</t>
  </si>
  <si>
    <t>7x8akihavis</t>
  </si>
  <si>
    <t>2021 10 01</t>
  </si>
  <si>
    <t>https://youtu.be/MS4Js-Sfee4</t>
  </si>
  <si>
    <t>Kennedy Countdown for Oct. 1, 2021</t>
  </si>
  <si>
    <t>NASA’s Landsat 9 satellite launched on a United Launch Alliance Atlas V rocket from Space Launch Complex 3 at Vandenberg Space Force Base in California on Monday. Built to monitor the Earth’s land surface, the satellite will join its sister satellite, Landsat 8, in orbit.
Artemis teams at Kennedy performed modal tests on the Space Launch System in the Vehicle Assembly Building. The tests helped determine the natural frequencies of the recently stacked rocket before launch of the Artemis I mission.</t>
  </si>
  <si>
    <t>MS4Js-Sfee4</t>
  </si>
  <si>
    <t>2021 09 29</t>
  </si>
  <si>
    <t>https://youtu.be/oeuU_ffBlGI</t>
  </si>
  <si>
    <t>NASA Artemis I Umbilical Release and Retract Test</t>
  </si>
  <si>
    <t>Engineers at KSC successfully completed the Umbilical Release and Retract Test on Sept. 19 inside the Vehicle Assembly Building (VAB) in preparation for the Artemis I mission. During the test, several umbilical arms extended to connect the Space Launch System (SLS) rocket and the mobile launcher. They swung away from the rocket, just as they will on launch day. The umbilicals will provide power, communications, coolant, and fuel to the rocket and the Orion spacecraft while at the launch pad until they disconnect and retract at ignition and liftoff.</t>
  </si>
  <si>
    <t>oeuU_ffBlGI</t>
  </si>
  <si>
    <t>2021 09 27</t>
  </si>
  <si>
    <t>https://youtu.be/rlriQ8HZD-c</t>
  </si>
  <si>
    <t>Landsat 9 Spacecraft Separation</t>
  </si>
  <si>
    <t>The Landsat 9 observatory executes a successful separation from the Centaur second stage.</t>
  </si>
  <si>
    <t>rlriQ8HZD-c</t>
  </si>
  <si>
    <t>https://youtu.be/EK_2HMDEKLs</t>
  </si>
  <si>
    <t>Liftoff of the Landsat 9 Mission!</t>
  </si>
  <si>
    <t>Derrol Nail of NASA Communications describes the liftoff of an Atlas V rocket carrying NASA's Landsat satellite from Vandenberg Space Force Base in California.</t>
  </si>
  <si>
    <t>EK_2HMDEKLs</t>
  </si>
  <si>
    <t>https://youtu.be/TrkaGePQfZ4</t>
  </si>
  <si>
    <t>Landsat 9 Launch Day Polling</t>
  </si>
  <si>
    <t>The Landsat 9 launch receives a "go" for launch during the status check to proceed to terminal count from Vandenberg Space Force Base in California.</t>
  </si>
  <si>
    <t>TrkaGePQfZ4</t>
  </si>
  <si>
    <t>https://youtu.be/ruDi2kD1kpM</t>
  </si>
  <si>
    <t>Launch Services Program 2021 Missions</t>
  </si>
  <si>
    <t>Based at NASA’s Kennedy Space Center in Florida, NASA's Launch Services Program (LSP) matches scientific and robotic spacecraft with launch vehicles for some of America’s most inspiring space missions. Building off of past success, LSP forges ahead to support NASA’s future. The program has five missions from September 2021 through early 2022.</t>
  </si>
  <si>
    <t>ruDi2kD1kpM</t>
  </si>
  <si>
    <t>https://youtu.be/bsaTirpn-uQ</t>
  </si>
  <si>
    <t>Landsat 9  Broadcast Show Opens</t>
  </si>
  <si>
    <t>Marie Lewis of NASA Communications is live from Vandenberg Space Force Base in California for the broadcast show opening of the Landsat 9 launch. An Atlas V rocket will launch Landsat 9 into space to show us Earth from above and help us take better care of our home planet. Launch is set for 11:12 a.m. PDT (2:12 EDT) this morning.</t>
  </si>
  <si>
    <t>bsaTirpn-uQ</t>
  </si>
  <si>
    <t>2021 09 24</t>
  </si>
  <si>
    <t>https://youtu.be/kDHB555q41E</t>
  </si>
  <si>
    <t>Kennedy Countdown for Sept. 24, 2021</t>
  </si>
  <si>
    <t>Engineers with NASA's Exploration Ground Systems and contractor Jacobs recently completed an important test ahead of Artemis I. Inside the Vehicle Assembly Building at NASA's Kennedy Space Center in Florida, several umbilical arms connected to the mobile launcher successfully swung away from the Space Launch System rocket, just as they will right before liftoff on launch day. Also, teams at Vandenberg Space Force Base in California continued preparing for the Landsat 9 launch - a joint mission between NASA and the U.S. Geological Survey. The satellite is scheduled to lift off aboard a United Launch Alliance Atlas V rocket from Vandenberg's Space Launch Complex 3 on Monday, Sept. 27, at 2:11 p.m. EDT.</t>
  </si>
  <si>
    <t>kDHB555q41E</t>
  </si>
  <si>
    <t>2021 09 17</t>
  </si>
  <si>
    <t>https://youtu.be/-aD3YynySkg</t>
  </si>
  <si>
    <t>Kennedy Countdown for Sept. 17, 2021</t>
  </si>
  <si>
    <t>SpaceX launched the first private astronaut mission into orbit from Kennedy Space Center’s Launch Complex 39A in Florida Wednesday night. The four crew members of Inspiration4 will orbit 360 miles above Earth for three days before splashing down off the coast of Florida.</t>
  </si>
  <si>
    <t>-aD3YynySkg</t>
  </si>
  <si>
    <t>2021 09 10</t>
  </si>
  <si>
    <t>https://youtu.be/fmWJN1uEVLM</t>
  </si>
  <si>
    <t>Kennedy Countdown for Sept. 10, 2021</t>
  </si>
  <si>
    <t>Scientists at NASA’s Kennedy Space Center in Florida are evaluating data from the Orbital Syngas Commodity Augmentation Reactor, or OSCAR, which launched on Blue Origin’s 17th New Shepard mission from West Texas. OSCAR, along with an electrostatic regolith study from the University of Central Florida, were among the important payloads on board supported by NASA’s Flight Opportunities program.
Teams at Kennedy have completed the launch abort system assembly for the Orion spacecraft. The last of the four protective panels of the ogive fairings was installed at the Florida spaceport this week. The task represents a major milestone for the agency’s Artemis I launch, scheduled for later this year.</t>
  </si>
  <si>
    <t>fmWJN1uEVLM</t>
  </si>
  <si>
    <t>2021 09 03</t>
  </si>
  <si>
    <t>https://youtu.be/c6HCt04Stk8</t>
  </si>
  <si>
    <t>Kennedy Countdown for Sept. 3, 2021</t>
  </si>
  <si>
    <t>SpaceX’s Falcon 9 rocket, carrying the company’s Dragon spacecraft, roared off the pad from Kennedy Space Center’s Launch Complex 39A at 3:14 a.m. Sunday, Aug. 29, marking the company’s 23rd commercial resupply services mission to the International Space Station for NASA. The mission delivered over 4,800 pounds of pressurized cargo. Dragon is expected to spend about a month on station before autonomously undocking and splashing down in the Atlantic Ocean.</t>
  </si>
  <si>
    <t>c6HCt04Stk8</t>
  </si>
  <si>
    <t>2021 08 29</t>
  </si>
  <si>
    <t>https://youtu.be/wZTfsY3XHDQ</t>
  </si>
  <si>
    <t>CRS-23 Spacecraft Separation</t>
  </si>
  <si>
    <t>SpaceX's uncrewed Dragon spacecraft successfully separates from the Falcon 9 rocket's second stage during its flight on the company's 23rd Commercial Resupply Services mission to the International Space Station. Liftoff occurred at 3:14 a.m. EDT from Kennedy Space Center's Launch Complex 39A in Florida on Aug. 29, 2021. Dragon is slated to arrive at the orbiting laboratory the following day, Aug. 30.</t>
  </si>
  <si>
    <t>wZTfsY3XHDQ</t>
  </si>
  <si>
    <t>https://youtu.be/iOu065xkLC4</t>
  </si>
  <si>
    <t>CRS-23  Liftoff!</t>
  </si>
  <si>
    <t>A SpaceX Falcon 9 rocket, with the company's uncrewed Dragon spacecraft atop, lifted off from Kennedy Space Center's Launch Complex 39A at 3:14 a.m. EDT on Aug. 29, 2021, for SpaceX's 23rd Commercial Resupply Services mission. The spacecraft is slated to arrive at the International Space Station the following day, Aug. 30.</t>
  </si>
  <si>
    <t>iOu065xkLC4</t>
  </si>
  <si>
    <t>2021 08 28</t>
  </si>
  <si>
    <t>https://youtu.be/yczFDtz5xNQ</t>
  </si>
  <si>
    <t>Kennedy Space Center – America’s Premier Multiuser Spaceport</t>
  </si>
  <si>
    <t>NASA’s Kennedy Space Center in Florida is launching and carrying the dreams of the nation! As America’s premier multiuser spaceport, Kennedy provides modern launch infrastructure, space launch services, and hosted government payload arrangements that are secure, reliable, cost effective, and responsive for government and commercial partners. Kennedy also supports industry-led efforts to rapidly develop new and modernized launch systems and technologies. Kennedy Space Center helps ensure the United States remains on the cutting edge of exploration research and technology and has reliable, resilient, and efficient access to space.</t>
  </si>
  <si>
    <t>yczFDtz5xNQ</t>
  </si>
  <si>
    <t>https://youtu.be/wkmM6LkZCAc</t>
  </si>
  <si>
    <t>SpaceX CRS-23 Launch is Scrubbed</t>
  </si>
  <si>
    <t>SpaceX's 23rd Commercial Resupply Services mission to the International Space Station has scrubbed due to poor weather conditions at NASA's Kennedy Space Center in Florida. Liftoff of the uncrewed Dragon spacecraft and Falcon 9 rocket is now targeted for Aug. 29, 2021, at 3:14 a.m. from Kennedy's Launch Complex 39A.</t>
  </si>
  <si>
    <t>wkmM6LkZCAc</t>
  </si>
  <si>
    <t>2021 08 27</t>
  </si>
  <si>
    <t>https://youtu.be/ios5jqcav6U</t>
  </si>
  <si>
    <t>Kennedy Countdown for Aug. 27, 2021</t>
  </si>
  <si>
    <t>To measure the level of vibrations NASA's Space Launch System (SLS) rocket will experience during launch, teams at Kennedy Space Center are performing tests inside the Vehicle Assembly Building. This involves placing hydraulic shakers at different locations on the rocket, as well as using a small hammer to deliver calibrated taps at different areas on the mobile launcher to simulate vibrations. About 300 sensors have been attached to the SLS stack to capture and record data. Also, NASA awarded $500,000 divided among 13 teams across the United States for the agency's Break the Ice Lunar Challenge. The challenge involved designing a method to extract water by excavating and moving large amounts of icy regolith from a permanently shadowed area of the Moon.</t>
  </si>
  <si>
    <t>ios5jqcav6U</t>
  </si>
  <si>
    <t>2021 08 25</t>
  </si>
  <si>
    <t>https://youtu.be/4_ObBbyoQuA</t>
  </si>
  <si>
    <t>OSCAR’s second suborbital flight propelling NASA’s trash conversion technology forward</t>
  </si>
  <si>
    <t>OSCAR, or the Orbital Syngas/Commodity Augmentation Reactor, will test "trash-to-gas" technology in microgravity aboard Blue Origin’s 17th New Shepard mission, which is slated to launch from the company’s Launch Site One in West Texas, no earlier than Aug. 26. OSCAR is one of six payloads NASA's Flight Opportunities program supports on the launch.
During the flight, OSCAR combines oxygen, heat, and trash in a reactor. The reactor ignites the trash, circulating the mixture in a swirling motion as the waste transitions into a gas. OSCAR collects and condenses gases created in the reactor for storage and later analysis by the team. The data OSCAR gathers during its time in microgravity will inform future logistics reduction work at NASA.
To learn more about OSCAR click here:
https://www.nasa.gov/content/oscar-orbital-syngascommodity-augmentation-reactor
To learn more about NASA's activities on this launch, click here:
https://www.nasa.gov/centers/armstrong/features/nasa-tech-testing-on-blue-origin-shepard.html
Credit to the European Space Agency for the time-lapse of the of the Progress 77P deorbit.</t>
  </si>
  <si>
    <t>4_ObBbyoQuA</t>
  </si>
  <si>
    <t>2021 08 20</t>
  </si>
  <si>
    <t>https://youtu.be/Lqs1U7f4ov4</t>
  </si>
  <si>
    <t>Kennedy Countdown for August 20, 2021</t>
  </si>
  <si>
    <t>NASA and SpaceX are gearing up for the 23rd cargo resupply services mission to the International Space Station. Experiments on board include protecting bone health with botanical byproducts, testing a way to monitor crew eye health, and helping plants grow better in space. NASA and Boeing postponed the launch of Orbital Flight Test-2 to the International Space Station as teams continue to work on the CST-100 Starliner propulsion system. Starliner was moved from the United Launch Alliance Vertical Integration Facility at Space Launch Complex 41 to Boeing’s Commercial Crew and Cargo Processing Facility at the spaceport.</t>
  </si>
  <si>
    <t>Lqs1U7f4ov4</t>
  </si>
  <si>
    <t>2021 08 13</t>
  </si>
  <si>
    <t>https://youtu.be/q59T0ilRYfg</t>
  </si>
  <si>
    <t>Kennedy Countdown for August 13, 2021</t>
  </si>
  <si>
    <t>Installation of small satellites, called CubeSats, continues in the Orion spacecraft adapter at NASA’s Kennedy Space Center in Florida. Technicians from the center’s Exploration Ground Systems and contractor Jacobs are working with CubeSat developers to secure the shoebox-sized secondary payloads inside Orion’s stage adapter. 
Also, work is underway to get NASA’s Lucy spacecraft ready for launch at Kennedy Space Center. Workers unpacked the spacecraft from its shipping container and moved it onto a dolly to begin testing and checkouts. Lucy will be the first space mission to study Jupiter’s Trojan asteroids, which may be remnants of the primordial material that formed the outer planets of our solar system.</t>
  </si>
  <si>
    <t>q59T0ilRYfg</t>
  </si>
  <si>
    <t>2021 08 06</t>
  </si>
  <si>
    <t>https://youtu.be/cI4ojCAl6AE</t>
  </si>
  <si>
    <t>Inside KSC! for August 6, 2021</t>
  </si>
  <si>
    <t>NASA, Boeing, and United Launch Alliance scrubbed this week’s launch of Orbital Flight Test-2 (OFT-2), due to unexpected valve position indications in the Starliner’s propulsion system. The new launch date has not been determined. The OFT-2 mission will be an end-to-end test of the Starliner spacecraft from launch to docking, to atmospheric re-entry and a desert landing in the western United States.
Also, at Vandenberg Space Force Base in California, preparations continue for next month’s launch of Landsat 9. The launch will continue the nearly 50-year legacy of previous Landsat missions when it lifts off Sept. 16, 2021, atop a United Launch Alliance Atlas V rocket from Space Launch Complex 3 at Vandenberg. The launch is managed by NASA’s Launch Services Program, based at Kennedy Space Center in Florida.</t>
  </si>
  <si>
    <t>cI4ojCAl6AE</t>
  </si>
  <si>
    <t>2021 07 30</t>
  </si>
  <si>
    <t>https://youtu.be/sP2dxOXHTiY</t>
  </si>
  <si>
    <t>Inside KSC! for July 30, 2021</t>
  </si>
  <si>
    <t>NASA and Boeing are targeting Tuesday, Aug. 3, for the company’s Orbital Flight Test-2 (OFT-2) – Boeing’s second uncrewed flight test for the agency’s Commercial Crew Program. The United Launch Alliance (ULA) Atlas V rocket, with the uncrewed CST-100 Starliner atop, is scheduled to lift off from Cape Canaveral Space Station’s Space Launch Complex 41. As part of the prelaunch activities, NASA Administrator Bill Nelson answered questions from reporters and social media alongside other NASA, Boeing, and ULA leaders. Also participating were the three astronauts selected to fly on Boeing’s Crew Flight Test, which will be the first flight for Starliner with astronauts aboard. The OFT-2 mission will provide valuable data toward NASA certifying Boeing’s transportation system for crewed flights to and from the International Space Station.</t>
  </si>
  <si>
    <t>sP2dxOXHTiY</t>
  </si>
  <si>
    <t>2021 07 26</t>
  </si>
  <si>
    <t>https://youtu.be/hdJ3rr3eKqY</t>
  </si>
  <si>
    <t>Boeing's Starliner Spacecraft Rolls Out to the Pad for OFT-2</t>
  </si>
  <si>
    <t>NASA’s Boeing Orbital Flight Test-2 is launching on July 30, 2021, from Cape Canaveral Space Force Station’s Space Launch Complex 41. Check out this short highlight video as liftoff quickly approaches.</t>
  </si>
  <si>
    <t>hdJ3rr3eKqY</t>
  </si>
  <si>
    <t>2021 07 23</t>
  </si>
  <si>
    <t>https://youtu.be/QWVe3q2R2cA</t>
  </si>
  <si>
    <t>Inside KSC! for July 23, 2021</t>
  </si>
  <si>
    <t>Boeing’s CST-100 Starliner spacecraft for Orbital Flight Test-2 is ready for its ride to space atop the United Launch Alliance Atlas V rocket. Starliner rolled to ULA’s Vertical Integration Facility where it was attached to the rocket. OFT-2 is set to launch on July 30 on a mission to rendezvous and dock with the International Space Station. 
Chile peppers will soon tempt the taste buds of astronauts on the space station. NASA astronaut Shane Kimbrough recently activated the Plant Habitat-04 experiment, containing Hatch chile pepper seeds.</t>
  </si>
  <si>
    <t>QWVe3q2R2cA</t>
  </si>
  <si>
    <t>2021 07 21</t>
  </si>
  <si>
    <t>https://youtu.be/xkatAImzMU4</t>
  </si>
  <si>
    <t xml:space="preserve">Why does spaceflight affect astronauts’ immune systems </t>
  </si>
  <si>
    <t>Why does spaceflight affect astronauts’ immune systems? Researchers are trying to figure that out by studying the blood of astronauts currently on the International Space Station. Those blood samples were among several critical and time-sensitive science experiments that returned to Earth July 9 aboard SpaceX’s 22nd Commercial Resupply Services mission.</t>
  </si>
  <si>
    <t>xkatAImzMU4</t>
  </si>
  <si>
    <t>2021 07 16</t>
  </si>
  <si>
    <t>https://youtu.be/n4wAG0JH-10</t>
  </si>
  <si>
    <t>Inside KSC! for July 16, 2021</t>
  </si>
  <si>
    <t>NASA’s Orion spacecraft has taken another major step in its preparation for the Artemis I mission. After completing fueling and servicing checks at Kennedy Space Center’s Multi-Payload Processing Facility, the capsule was transported to the Florida spaceport’s Launch Abort System Facility, where components of the launch abort system will be integrated onto the spacecraft.
A SpaceX cargo Dragon spacecraft, which launched from Kennedy Space Center, returned to Earth from the International Space Station. Carrying important science investigations, Dragon splashed down in the Gulf of Mexico, near Tallahassee. It marked the second splashdown of a U.S. commercial cargo spacecraft off the Florida coast.</t>
  </si>
  <si>
    <t>n4wAG0JH-10</t>
  </si>
  <si>
    <t>2021 07 13</t>
  </si>
  <si>
    <t>https://youtu.be/F3_1xgCbORs</t>
  </si>
  <si>
    <t>Space is Spicier  Peppers Growing on Station</t>
  </si>
  <si>
    <t>On July 12, NASA astronaut Shane Kimbrough on the International Space Station added water to NASA’s Plant Habitat-04 (PH-04) experiment in the Advanced Plant Habitat (APH), the largest of NASA’s three plant growth chambers on the orbiting laboratory. This activated the experiment, which contains 48 Hatch chili pepper seeds recently sent to station.  
Astronauts on station and a team of researchers at Kennedy will work together to monitor the peppers’ growth for about four months before harvesting them. This will be one of the longest and most challenging plant experiments attempted aboard the orbital lab. The crew plans to eat some of the peppers and send the rest back to Earth for analysis. 
Some of the data collected from PH-04 will include the astronauts’ take on flavor and texture of the peppers, along with Scoville measurements to assess the spiciness of the peppers. A research team monitoring a control experiment on the ground at Kennedy will collect similar information for comparison.
SpaceX’s 22nd commercial resupply services mission in June delivered PH-04 to the space station.  
Read the full feature and the fact sheet about the PH-04 experiment. Follow progress on social media.
Feature:
https://www.nasa.gov/feature/chile-peppers-start-spicing-up-the-space-station 
Fact Sheet:
https://www.nasa.gov/content/plant-habitat-04
For information on the NuMex pepper Hatch Valley video footage, please contact New Mexico TRUE at www.newmexico.org</t>
  </si>
  <si>
    <t>F3_1xgCbORs</t>
  </si>
  <si>
    <t>2021 07 09</t>
  </si>
  <si>
    <t>https://youtu.be/V3hoqpLACzk</t>
  </si>
  <si>
    <t>Inside KSC! for July 9, 2021</t>
  </si>
  <si>
    <t>NASA's Space Launch System (SLS) rocket is one step closer to launch. Teams with the agency's Exploration Ground Systems and contractor Jacobs stacked the interim cryogenic propulsion stage, which will give the Orion spacecraft the big push it needs for its journey around the Moon, on top of the rocket inside the iconic Vehicle Assembly Building at Kennedy Space Center in Florida. Also, engineers from Kennedy, Marshall Space Flight Center in Alabama, and Johnson Space Center in Houston came together to rehearse the day of launch countdown operations for Artemis I. This marked the first joint simulation with team members from multiple NASA centers participating.</t>
  </si>
  <si>
    <t>V3hoqpLACzk</t>
  </si>
  <si>
    <t>2021 07 02</t>
  </si>
  <si>
    <t>https://youtu.be/BTGSb_vhHpA</t>
  </si>
  <si>
    <t>Inside KSC! for July 2, 2021</t>
  </si>
  <si>
    <t>Teams with NASA’s Exploration Ground Systems and contractor Jacobs integrated, or stacked, the launch vehicle stage adapter (LVSA), and the Space Launch System core stage on the mobile launcher in the agency’s Vehicle Assembly Building at Kennedy Space Center in Florida. The interim cryogenic propulsion stage is scheduled to be stacked next and will provide the Orion spacecraft the boost needed for its journey around the Moon. Also, the Gateway Program Deep Space Logistics procurement team at Kennedy received a 2021 Top Supply Chain Projects Award from “Supply &amp; Demand Chain Executive Magazine” for innovative and transformative work on the Gateway Logistics Services contract.</t>
  </si>
  <si>
    <t>BTGSb_vhHpA</t>
  </si>
  <si>
    <t>2021 06 30</t>
  </si>
  <si>
    <t>https://youtu.be/g7vi6AVVdu8</t>
  </si>
  <si>
    <t>A 360 Look at the Artemis I launch vehicle stage adapter lift</t>
  </si>
  <si>
    <t>Get the full Space Launch System rocket core stacking experience, and watch in 360 degrees as teams lift part of the rocket in the transfer aisle of the Vehicle Assembly Building at NASA’s Kennedy Space Center and move it over to High Bay 3. The stage adapter sits between the massive core stage of the rocket and the interim cryogenic propulsion stage.</t>
  </si>
  <si>
    <t>g7vi6AVVdu8</t>
  </si>
  <si>
    <t>2021 06 28</t>
  </si>
  <si>
    <t>https://youtu.be/3wUR9CDiBBc</t>
  </si>
  <si>
    <t>2021 Community Leaders Update</t>
  </si>
  <si>
    <t>The Community Leaders Update reviews the State of NASA at Kennedy Space Center and provides industry stakeholders the opportunity to hear the spaceport's exciting plans for the upcoming year.</t>
  </si>
  <si>
    <t>3wUR9CDiBBc</t>
  </si>
  <si>
    <t>2021 06 25</t>
  </si>
  <si>
    <t>https://youtu.be/lbl50JJyf7A</t>
  </si>
  <si>
    <t>Inside KSC! for June 25, 2021</t>
  </si>
  <si>
    <t>The United Launch Alliance Atlas V rocket that will launch Boeing’s first crewed flight test to the International Space Station arrived at Cape Canaveral Space Force Station earlier this week. The rocket’s first stage and Dual Engine Centaur upper stage arrived from ULA’s manufacturing facility in Alabama. And teams with NASA’s Exploration Ground Systems and contractor Jacobs integrated the launch vehicle stage adapter with the Space Launch System’s massive core stage on the mobile launcher inside the Vehicle Assembly Building for Artemis I on June 22. During integration, known as “stacking,” the adapter was bolted to the forward skirt of the core stage.</t>
  </si>
  <si>
    <t>lbl50JJyf7A</t>
  </si>
  <si>
    <t>2021 06 21</t>
  </si>
  <si>
    <t>https://youtu.be/ndb9Y_bREKg</t>
  </si>
  <si>
    <t>Artemis I Core Stage Activities at Kennedy</t>
  </si>
  <si>
    <t>It took teamwork to get the 212-foot-long core stage for NASA's Space Launch System rocket inside the Vehicle Assembly Building (VAB) and stacked on top of the mobile launcher at NASA’s Kennedy Space Center in Florida. In this video montage, watch the core stage’s arrival at Kennedy, its move inside the VAB, and the operations that led to its placement in between the twin solid rocket boosters as teams prepare for the Artemis I launch.</t>
  </si>
  <si>
    <t>ndb9Y_bREKg</t>
  </si>
  <si>
    <t>2021 06 18</t>
  </si>
  <si>
    <t>https://youtu.be/2y2gW-_curw</t>
  </si>
  <si>
    <t>Inside KSC! for June 18, 2021</t>
  </si>
  <si>
    <t>The massive core stage for NASA's Space Launch System is now integrated with the twin solid rocket boosters inside the Vehicle Assembly Building at the agency's Kennedy Space Center in Florida. Teams with NASA's Exploration Ground Systems and contractor Jacobs lifted the 188,000-pound core stage and moved it from the transfer aisle into High Bay 3, where it was lowered onto the mobile launcher and placed in between the two boosters. Also, the Gateway Program's Katherine Cook, an operations analyst for Deep Space Logistics at Kennedy, receives a Mansfield Fellowship, which involves living and working in Japan for one year.</t>
  </si>
  <si>
    <t>2y2gW-_curw</t>
  </si>
  <si>
    <t>https://youtu.be/TJbsoIKwkTg</t>
  </si>
  <si>
    <t>NASA's ELaNa XX  Small Satellites with Big Goals</t>
  </si>
  <si>
    <t>On Jan. 17,  2021, Virgin Orbit's "Cosmic Girl" carrier aircraft took to the skies, leaving from the Mojave Air and Space Port in California. Attached to the underside of its left wing was the company's LauncherOne rocket - one of two venture-class vehicles NASA chose to give CubeSats a ride to space - carrying, for the first time ever, a payload of 10 NASA-sponsored satellites for the agency's Educational Launch of Nanosatellites-20 mission. At 35,000 feet above the Pacific Ocean, LauncherOne was released from Cosmic Girl, beginning the mission journey for 10 small satellites with big goals. To launch with ELaNa, visit http://www.nasa.gov/elana.</t>
  </si>
  <si>
    <t>TJbsoIKwkTg</t>
  </si>
  <si>
    <t>2021 06 17</t>
  </si>
  <si>
    <t>https://youtu.be/-sjn5jDpDjg</t>
  </si>
  <si>
    <t>A 360 Look at the Artemis I Core Stage Lift and Mate</t>
  </si>
  <si>
    <t>Get the full Space Launch System core stage experience, and watch in 360 degrees as teams lift the largest part of the rocket in the transfer aisle of the Vehicle Assembly Building at NASA’s Kennedy Space Center and move it over to High Bay 3. From there, the core stage was lowered onto the mobile launcher and placed in between the twin solid rocket boosters as preparations for the Artemis I launch continue.</t>
  </si>
  <si>
    <t>-sjn5jDpDjg</t>
  </si>
  <si>
    <t>2021 06 14</t>
  </si>
  <si>
    <t>https://youtu.be/5n8AY-k-Su4</t>
  </si>
  <si>
    <t>Time-lapse of Core Stage Stacking for the Artemis I Mission</t>
  </si>
  <si>
    <t>The Space Launch System rocket core stage for the first Artemis mission was lifted and stacked in the Vehicle Assembly Building at Kennedy Space Center. The core stage was placed in between the already stacked twin solid rocket boosters on the mobile launcher.</t>
  </si>
  <si>
    <t>5n8AY-k-Su4</t>
  </si>
  <si>
    <t>2021 06 11</t>
  </si>
  <si>
    <t>https://youtu.be/pT7HBU8_G0I</t>
  </si>
  <si>
    <t>Inside KSC! for June 11, 2021</t>
  </si>
  <si>
    <t>NASA’s Artemis I will reach another major milestone as the core stage for its Space Launch System rocket is lifted and placed between the twin solid rocket boosters on the mobile launcher in High Bay 3 inside Kennedy Space Center’s Vehicle Assembly Building. Also, utility company Florida Power and Light hosted a ribbon-cutting ceremony on June 11, 2021, to celebrate the opening of its Discovery Solar Energy Center at Kennedy. The 74.5-megawatt solar site spans 491 acres at the spaceport and produces enough energy to power approximately 15,000 homes.</t>
  </si>
  <si>
    <t>pT7HBU8_G0I</t>
  </si>
  <si>
    <t>2021 06 04</t>
  </si>
  <si>
    <t>https://youtu.be/OwdbAzEeUDY</t>
  </si>
  <si>
    <t>Inside KSC! for June 4, 2021</t>
  </si>
  <si>
    <t>An uncrewed Dragon spacecraft is on its way to the International Space Station after launching from Kennedy Space Center's Launch Complex 39A on June 3, 2021, on SpaceX's 22nd commercial resupply services mission for NASA. Liftoff occurred at 1:29 p.m. EDT, and the spacecraft will deliver more than 7,300 pounds of science and research experiments, vehicle hardware, and crew supplies to the orbiting laboratory. Also, teams prepare to integrate the Space Launch System core stage with the twin solid rocket boosters. The core stage will be moved from the transfer aisle in the Vehicle Assembly Building into High Bay 3, where it will be placed in between the boosters atop the mobile launcher in preparation for the Artemis I launch.</t>
  </si>
  <si>
    <t>OwdbAzEeUDY</t>
  </si>
  <si>
    <t>2021 06 03</t>
  </si>
  <si>
    <t>https://youtu.be/YijM6IkuasE</t>
  </si>
  <si>
    <t>SpaceX CRS-22  Falcon 9 First Stage Lands on Droneship</t>
  </si>
  <si>
    <t>The first stage of the Falcon 9 rocket used on SpaceX’s 22nd Commercial Resupply Services mission lands successfully on the company's 'Of Course I Still Love You' droneship in the Atlantic Ocean. The company's Falcon 9 rocket and Dragon spacecraft lifted off at 1:29 p.m. EST on Thursday, June 3, 2021, from Launch Complex 39A from NASA's Kennedy Space Center in Florida.</t>
  </si>
  <si>
    <t>YijM6IkuasE</t>
  </si>
  <si>
    <t>https://youtu.be/eDnZT06Sqfs</t>
  </si>
  <si>
    <t>SpaceX CRS-22  Dragon Spacecraft Separation</t>
  </si>
  <si>
    <t>The SpaceX Dragon spacecraft separates from the Falcon 9 rocket as the company's 22nd Commercial Resupply Services mission to the International Space Station begins. The company's Falcon 9 rocket and Dragon spacecraft lifted off at 1:29 p.m. EST on Thursday, June 3, 2021, from Launch Complex 39A from NASA's Kennedy Space Center in Florida.</t>
  </si>
  <si>
    <t>eDnZT06Sqfs</t>
  </si>
  <si>
    <t>https://youtu.be/deKkd6EKolo</t>
  </si>
  <si>
    <t>SpaceX CRS-22 Launch  Liftoff</t>
  </si>
  <si>
    <t>A SpaceX Falcon 9 rocket and Dragon spacecraft launch on the company's 22nd Commercial Resupply Services mission to the International Space Station. The company's Falcon 9 rocket and Dragon spacecraft lifted off at 1:29 p.m. EST on Thursday, June 3, 2021, from Launch Complex 39A from NASA's Kennedy Space Center in Florida.</t>
  </si>
  <si>
    <t>deKkd6EKolo</t>
  </si>
  <si>
    <t>https://youtu.be/ghjGp-_-tQo</t>
  </si>
  <si>
    <t>SpaceX CRS-22 Broadcast Begins at NASA's Kennedy Space Center</t>
  </si>
  <si>
    <t>The live broadcast begins for the countdown and liftoff of SpaceX’s 22nd Commercial Resupply Services mission to the International Space Station. The company's Falcon 9 rocket and Dragon spacecraft lifted off at 1:29 p.m. EST on Thursday, June 3, 2021, from Launch Complex 39A from NASA's Kennedy Space Center in Florida.</t>
  </si>
  <si>
    <t>ghjGp-_-tQo</t>
  </si>
  <si>
    <t>2021 05 28</t>
  </si>
  <si>
    <t>https://youtu.be/v1udH-w7TRo</t>
  </si>
  <si>
    <t>Inside KSC! for May 28, 2021</t>
  </si>
  <si>
    <t>NASA and SpaceX are preparing for the company’s  22nd Commercial Resupply Services mission to the International Space Station. The Falcon 9 rocket with the Dragon capsule is scheduled to lift off from Launch Complex 39A on Thursday, June 3.
Also, researchers in the Exploration Research and Technology programs recently completed tests on NASA’s Biology Experiment-1 inside the center’s Vibration Laboratory. The experiment is a space biology pathfinder that will journey around the Moon aboard the Orion capsule on the Artemis I mission.</t>
  </si>
  <si>
    <t>v1udH-w7TRo</t>
  </si>
  <si>
    <t>2021 05 21</t>
  </si>
  <si>
    <t>https://youtu.be/E8Z7oOKW-68</t>
  </si>
  <si>
    <t>Inside KSC! for May 21, 2021</t>
  </si>
  <si>
    <t>Former NASA astronauts Charlie Duke and Nicole Stott visited Kennedy on May 10, 2021. Duke and Stott toured the Multi-Payload Processing Facility and the Vehicle Assembly Building and viewed flight hardware for the Artemis I mission. 
Also, NASA’s iconic “worm” logo was added to the Orion spacecraft. Teams with NASA’s Exploration Ground Systems and lead contractor Jacobs painted the retro insignia on the outboard wall of the spacecraft’s crew module adapter, which will make it visible while on the launch pad.</t>
  </si>
  <si>
    <t>E8Z7oOKW-68</t>
  </si>
  <si>
    <t>2021 05 14</t>
  </si>
  <si>
    <t>https://youtu.be/VfE5I8BLZdk</t>
  </si>
  <si>
    <t>Inside KSC! for May 14, 2021</t>
  </si>
  <si>
    <t>Bob Cabana, director of Kennedy Space Center since 2008, will take on a new role as NASA associate administrator. Janet Petro, who has served as deputy director of Kennedy since 2007, will become Kennedy’s acting director.
Also, NASA and Boeing are targeting Friday, July 30, at 2:53 p.m. Eastern Daylight Time, for launch of the company’s Starliner uncrewed Orbital Flight Test-2 to the International Space Station. The updated launch target reflects the station’s visiting vehicle schedule, Starliner readiness, and the availability of the United Launch Alliance Atlas V rocket.</t>
  </si>
  <si>
    <t>VfE5I8BLZdk</t>
  </si>
  <si>
    <t>2021 05 07</t>
  </si>
  <si>
    <t>https://youtu.be/gWA1hozu_Nk</t>
  </si>
  <si>
    <t>Inside KSC! for May 7, 2021</t>
  </si>
  <si>
    <t>The four astronauts who flew on NASA's SpaceX Crew-1 mission safely splashed down in the Gulf of Mexico off the coast of Panama City, Florida, on May 2, 2021. After spending nearly six months in space, their return to Earth marks the end of the first crew rotational mission to the International Space Station under the agency's Commercial Crew Program. Also, the memory of former astronaut Michael Collins was honored during a wreath-laying ceremony at the Kennedy Space Center Visitor Complex. Collins remained in lunar orbit on the historic Apollo 11 mission where Neil Armstrong and Buzz Aldrin became the first people to walk on the Moon. He passed away on April 28 at the age of 90.</t>
  </si>
  <si>
    <t>gWA1hozu_Nk</t>
  </si>
  <si>
    <t>2021 04 30</t>
  </si>
  <si>
    <t>https://youtu.be/iqapIyJBiWo</t>
  </si>
  <si>
    <t>Inside KSC! for April 30, 2021</t>
  </si>
  <si>
    <t>The final piece of NASA’s Space Launch System, or SLS, for the Artemis I mission is now inside the Vehicle Assembly Building at Kennedy Space Center. The rocket’s massive core stage arrived this week aboard the Pegasus barge from Stennis Space Center in Mississippi to the Launch Complex 39 turn basin wharf. Kennedy marked Earth Day throughout the month of April with a series of presentations on sustainability. Although the speakers were virtual, the topics covered issues familiar to employees on center, including the shared responsibility of working on the Merritt Island National Wildlife Refuge and the completion of the shoreline restoration project.</t>
  </si>
  <si>
    <t>iqapIyJBiWo</t>
  </si>
  <si>
    <t>2021 04 23</t>
  </si>
  <si>
    <t>https://youtu.be/mdPbpfiODBk</t>
  </si>
  <si>
    <t>Inside KSC! for April 23, 2021</t>
  </si>
  <si>
    <t>NASA's SpaceX Crew-2 mission launched to the International Space Station from the agency's Kennedy Space Center in Florida. The Crew Dragon spacecraft and Falcon 9 rocket lifted off from Kennedy's historic Launch Complex 39A at 5:49 a.m. EDT on April 23, 2021. Crew-2 will deliver NASA astronauts Shane Kimbrough and Megan McArthur, Japan Aerospace Exploration Agency (JAXA) astronaut Akihiko Hoshide, and European Space Agency (ESA) astronaut Thomas Pesquet to the space station for a six-month science mission.</t>
  </si>
  <si>
    <t>mdPbpfiODBk</t>
  </si>
  <si>
    <t>https://youtu.be/fXh-tmA9VpA</t>
  </si>
  <si>
    <t>NASA's SpaceX Crew-2 Spacecraft Separation</t>
  </si>
  <si>
    <t>The SpaceX Crew Dragon spacecraft, carrying Crew-2 NASA astronauts Shane Kimbrough and Megan McArthur, Japan Aerospace Exploration Agency (JAXA) astronaut Akihiko Hoshide, and European Space Agency (ESA) astronaut Thomas Pesquet to the International Space Station, separates from the second stage of the Falcon 9 rocket. Liftoff occurred at 5:49 a.m. EDT from Kennedy Space Center's Launch Complex 39A on April 23, 2021.</t>
  </si>
  <si>
    <t>fXh-tmA9VpA</t>
  </si>
  <si>
    <t>https://youtu.be/KRFXcMGVSwY</t>
  </si>
  <si>
    <t>NASA's SpaceX Crew-2 Liftoff</t>
  </si>
  <si>
    <t>Liftoff of NASA's SpaceX Crew-2 mission from the agency's Kennedy Space Center in Florida. The SpaceX Crew Dragon and Falcon 9 rocket lifted off at 5:49 a.m. EDT on April 23, 2021, from Kennedy's Launch Complex 39A. Crew Dragon will carry NASA astronauts Shane Kimbrough and Megan McArthur, Japan Aerospace Exploration Agency (JAXA) astronaut Akihiko Hoshide, and European Space Agency (ESA) astronaut Thomas Pesquet to the International Space Station for a six-month science mission as part of NASA's Commercial Crew Program.</t>
  </si>
  <si>
    <t>KRFXcMGVSwY</t>
  </si>
  <si>
    <t>https://youtu.be/V4vy_ntjVng</t>
  </si>
  <si>
    <t>NASA's SpaceX Crew-2 Astronauts Suit Up</t>
  </si>
  <si>
    <t>SpaceX suit technicians help the Crew-2 astronauts get into their spacesuits.</t>
  </si>
  <si>
    <t>V4vy_ntjVng</t>
  </si>
  <si>
    <t>https://youtu.be/ZV4J94gD_Qw</t>
  </si>
  <si>
    <t>NASA's SpaceX Crew-2 Broadcast Begins</t>
  </si>
  <si>
    <t>A live look at the Crew Dragon spacecraft and Falcon 9 rocket set to launch four astronauts to the International Space Station in just a few hours.</t>
  </si>
  <si>
    <t>ZV4J94gD_Qw</t>
  </si>
  <si>
    <t>https://youtu.be/TrEJdl8kln4</t>
  </si>
  <si>
    <t>NASA's SpaceX Crew-2 Astronauts Step Outside</t>
  </si>
  <si>
    <t>NASA's SpaceX Crew-2 astronauts say goodbye to their families before heading to the launch pad.</t>
  </si>
  <si>
    <t>TrEJdl8kln4</t>
  </si>
  <si>
    <t>2021 04 16</t>
  </si>
  <si>
    <t>https://youtu.be/v7k8ISJAUU0</t>
  </si>
  <si>
    <t>Inside KSC! for April 16, 2021</t>
  </si>
  <si>
    <t>The four astronauts who will fly on NASA’s SpaceX Crew-2 mission arrived on Friday, April 16, at the Launch and Landing Facility at Kennedy Space. The SpaceX Falcon 9 rocket and Crew Dragon spacecraft will carry the astronauts to the International Space Station for a six-month stay. Liftoff is scheduled at 6:11 a.m. on Thursday, April 22, from Kennedy’s Launch Complex 39A. Research scientists at Kennedy recently applied a selective surface coating to an Electrodynamic Dust Shield, one of several activities preparing the dust shields for testing in space.These technologies are expected to be useful in many applications as NASA explores the Moon, Mars, and beyond.</t>
  </si>
  <si>
    <t>v7k8ISJAUU0</t>
  </si>
  <si>
    <t>https://youtu.be/gCGW4239TpI</t>
  </si>
  <si>
    <t>Rocket Ranch  Commercial Crew Program's Dana Hutcherson on Crew-2 and the Program's 10th Anniversary</t>
  </si>
  <si>
    <t>Building off of the excitement of 2020, NASA's Commercial Crew Program (CCP) is right back in the thick of things in 2021, as NASA's SpaceX Crew-2 mission prepares to launch from Kennedy Space Center on April 22. CCP Deputy Manager Dana Hutcherson appears on this edition of the Rocket Ranch Podcast to discuss the mission ahead. She also reflects on the 10-year anniversary of CCP and talks about her personal journey at the Florida spaceport.</t>
  </si>
  <si>
    <t>gCGW4239TpI</t>
  </si>
  <si>
    <t>2021 04 12</t>
  </si>
  <si>
    <t>https://youtu.be/QJilQsllqE0</t>
  </si>
  <si>
    <t>Crane Replacement in the Operations and Checkout Building High Bay</t>
  </si>
  <si>
    <t>Teams from American Crane and Equipment Corporation recently replaced the facility’s existing crane with a new crane that features greater lift capability and enhanced controls. Situated on the upper railings of the high bay, the O&amp;C’s newest crane joins the family of two other cranes on the high bay’s lower railings. Its initial use will be in support of Artemis II, the program’s first crewed mission, lifting the Orion spacecraft after the crew and service modules have been mated.</t>
  </si>
  <si>
    <t>QJilQsllqE0</t>
  </si>
  <si>
    <t>2021 04 09</t>
  </si>
  <si>
    <t>https://youtu.be/-OR336xQldY</t>
  </si>
  <si>
    <t>Inside KSC! for April 9, 2021</t>
  </si>
  <si>
    <t>Representatives from Kennedy Space Center, the visitor complex, NASA’s Launch Services Program, United Launch Alliance (ULA), and the 45th Space Wing attended a ribbon-cutting ceremony to commemorate the addition of the last ULA Delta II rocket to the Kennedy Space Center visitor complex's Rocket Garden. 
The third and final Airbus H135 helicopter arrived at the Launch and Landing Facility, completing the upgraded fleet of aircraft used for security operations at Kennedy. Coming from Columbus, Mississippi, the Airbus helicopters replace the Bell Huey 2 aircraft that had been in service at Kennedy for the past 30 years.</t>
  </si>
  <si>
    <t>-OR336xQldY</t>
  </si>
  <si>
    <t>2021 04 07</t>
  </si>
  <si>
    <t>https://youtu.be/4Bzh3amyCvk</t>
  </si>
  <si>
    <t>First Space Shuttle Flight - Astronaut Bob Crippen on the Legacy of STS-1 &amp; Columbia – Rocket Ranch</t>
  </si>
  <si>
    <t>When the spotlights came on in the predawn hours of April 12, 1981, they illuminated a spacecraft like no other: the space shuttle. Just before liftoff, the crew of two climbed inside space shuttle Columbia for its first test flight into space - that launch going nearly perfect. On this episode of the Rocket Ranch, hear from Columbia pilot Bob Crippen as he recounts that very first shuttle mission.</t>
  </si>
  <si>
    <t>4Bzh3amyCvk</t>
  </si>
  <si>
    <t>2021 04 02</t>
  </si>
  <si>
    <t>https://youtu.be/pmmilGIONaA</t>
  </si>
  <si>
    <t>Inside KSC! for April 2, 2021</t>
  </si>
  <si>
    <t>Technicians from Exploration Ground Systems and supporting contractors tested prototypes of a new "rainbird" system to be used for the Artemis II mission. Teams ran various water pressures through small-scale, 3D-printed sprayers to capture data for use in developing full-scale nozzles.
Also, engineers and scientists at Kennedy participated in a joint simulation involving a tool developed at the Florida spaceport: the Mass Spectrometer observing lunar operations, or MSolo. The team connected remotely to Astrobotic’s systems in Pennsylvania to develop and refine procedures between the simulated MSolo and a Peregrine lander working together on the Moon.</t>
  </si>
  <si>
    <t>pmmilGIONaA</t>
  </si>
  <si>
    <t>2021 03 29</t>
  </si>
  <si>
    <t>https://youtu.be/DJz-0Pq5_q0</t>
  </si>
  <si>
    <t>Women's History Month at the Kennedy Space Center</t>
  </si>
  <si>
    <t>In honor of Women’s History Month, we spoke with three incredible women here at Kennedy Space Center – Charlie Blackwell-Thompson, Artemis launch director; Hibah Rahmani, avionics and flight controls lead; and Prital Johnson, subsystem lead and systems engineer. Join us as they share and reflect on their time at NASA, why they chose their career fields, their inspirations and how they're influencing the next generation of explorers.</t>
  </si>
  <si>
    <t>DJz-0Pq5_q0</t>
  </si>
  <si>
    <t>2021 03 26</t>
  </si>
  <si>
    <t>https://youtu.be/8NwEn0vwk2s</t>
  </si>
  <si>
    <t>Inside KSC! for March 26, 2021</t>
  </si>
  <si>
    <t>Kennedy Space Center employees with more than 20 years of federal service were recognized during a virtual Length of Service Award Ceremony, hosted by Center Director Bob Cabana. During the ceremony, Cabana reflected on some of the Florida spaceport's biggest highlights from 20, 30, and even 40 years ago. 
Also, Deep Space Logistics Manager Mark Wiese served as a judge for NASA iTech's latest Ignite the Night fast-pitch event. Held recently in Tampa, Ignite the Night was a virtual event where 10 companies from seven states presented technologies that could benefit NASA and positively impact life on Earth.</t>
  </si>
  <si>
    <t>8NwEn0vwk2s</t>
  </si>
  <si>
    <t>2021 03 19</t>
  </si>
  <si>
    <t>https://youtu.be/E2Z2P7do7rQ</t>
  </si>
  <si>
    <t>Inside KSC! for March 19, 2021</t>
  </si>
  <si>
    <t>This week, NASA announced the winners of its Lunar Delivery Challenge – a contest that seeks innovative ideas from the public for unloading cargo and supplies onto the surface of the moon as part of the agency’s Artemis program.  The winning designs will be considered for future planning and development to achieve the agency’s goal of a sustainable long-term presence on the Moon. Each year, Kennedy observes Safety and Health Days to show our commitment to the well-being of our workforce. This year, the theme is “Mission Ready,” because it takes every one of us to complete our mission successfully. Instead of in-person activities, the center has offered the Kennedy team a variety of virtual presentations throughout the month.</t>
  </si>
  <si>
    <t>E2Z2P7do7rQ</t>
  </si>
  <si>
    <t>https://youtu.be/jusxojMGlJg</t>
  </si>
  <si>
    <t>Ep. 28  Women in STEM  A Launch Director, Astrophysicist, &amp; Engineer on Their Challenges &amp; Success</t>
  </si>
  <si>
    <t>In this episode of the Rocket Ranch, we talk to three women at NASA who have chosen career paths in STEM. They tell us about the challenges and the rewards they experienced on their journey to America’s space agency and share advice for women who would like to follow in their footsteps.</t>
  </si>
  <si>
    <t>jusxojMGlJg</t>
  </si>
  <si>
    <t>2021 03 15</t>
  </si>
  <si>
    <t>https://youtu.be/1CztM1kOdmM</t>
  </si>
  <si>
    <t>Artemis I Rocket Boosters Are Ready</t>
  </si>
  <si>
    <t>Space Launch System boosters for NASA’s Artemis I mission arrived at Kennedy Space Center in Florida. There, they were processed in the Rotation Processing and Surge Facility. Aft segments were transported to the Vehicle Assembly Building, where forward segments also were stacked. Left and right forward assemblies were then placed on the boosters. Artemis I is the first in a series of increasingly complex missions that will enable human exploration to the Moon and Mars.</t>
  </si>
  <si>
    <t>1CztM1kOdmM</t>
  </si>
  <si>
    <t>2021 03 12</t>
  </si>
  <si>
    <t>https://youtu.be/9W9bnvXhe_8</t>
  </si>
  <si>
    <t>Inside KSC! for March 12, 2021</t>
  </si>
  <si>
    <t>The twin solid rocket boosters that will power NASA's Space Launch System rocket on the Artemis I mission are now fully assembled on the mobile launcher (ML) inside the Vehicle Assembly Building at Kennedy. Assembly involved teams with the agency's Exploration Ground Systems and contractor Jacobs using a heavy-lift crane to stack 10 booster segments and nose assemblies on top of the ML. Also, NASA and Boeing are working to evaluate a new target launch date for the company's Orbital Flight Test-2 mission to the International Space Station. Some factors involved in the evaluation include the replacement of avionics boxes, visiting vehicle traffic to the space station, and more.</t>
  </si>
  <si>
    <t>9W9bnvXhe_8</t>
  </si>
  <si>
    <t>2021 03 09</t>
  </si>
  <si>
    <t>https://youtu.be/cGMJouzeZ8I</t>
  </si>
  <si>
    <t>Get Ready For Artemis</t>
  </si>
  <si>
    <t>Work is underway at NASA’s Kennedy Space Center for America’s future rocket that will head back to the Moon. Under the Artemis program, NASA will land the first woman and next man on the Moon. The first step in this series of increasingly complex missions is Artemis I, a test flight for the agency’s Space Launch System (SLS) rocket and Orion spacecraft. During Artemis I, Orion will launch atop the 212-foot SLS and fly farther than any spacecraft built for humans has ever flown. The approximately three-week, uncrewed mission will take the spacecraft thousands of miles past the Moon, about 280,000 miles from Earth.</t>
  </si>
  <si>
    <t>cGMJouzeZ8I</t>
  </si>
  <si>
    <t>2021 03 05</t>
  </si>
  <si>
    <t>https://youtu.be/wRZPX8fBZMg</t>
  </si>
  <si>
    <t>Inside KSC  March 5, 2021</t>
  </si>
  <si>
    <t>Thirty-six juvenile Kemp’s ridley sea turtles, along with one Kemp’s ridley hybrid turtle, were transported to NASA’s Kennedy Space Center from rehabilitation facilities in Massachusetts and New York. The turtles were carefully offloaded from an aircraft, packed into vehicles, and driven to nearby Canaveral National Seashore. There, they were released into the Atlantic Ocean.
NASA conducted a pair of news conferences on March 1, highlighting the second crew rotation flight of a U.S. commercial spacecraft with astronauts to the International Space Station. Speaking live from Kennedy, Kathy Lueders, NASA associate administrator for human exploration and operations, discussed NASA’s SpaceX Crew-2 mission, targeted for no earlier than April 20.</t>
  </si>
  <si>
    <t>wRZPX8fBZMg</t>
  </si>
  <si>
    <t>2021 03 02</t>
  </si>
  <si>
    <t>https://youtu.be/8gSb45BJ_E4</t>
  </si>
  <si>
    <t>Persevering In a Pandemic</t>
  </si>
  <si>
    <t>Kennedy Space Center in Florida continues to support NASA’s space exploration mission, while safely persevering during the pandemic. The center is supporting mission essential tasks like launches for the Commercial Crew Program, stacking boosters and processing the Orion spacecraft for Artemis I, and supporting research and technology for the International Space Station and long-duration missions to the Moon and Mars.</t>
  </si>
  <si>
    <t>8gSb45BJ_E4</t>
  </si>
  <si>
    <t>2021 02 26</t>
  </si>
  <si>
    <t>https://youtu.be/4BYIeeLJNEI</t>
  </si>
  <si>
    <t>Inside KSC! for Feb. 26, 2021</t>
  </si>
  <si>
    <t>The interim cryogenic propulsion stage for NASA's Artemis I mission has moved into the Multi-Payload Processing Facility at Kennedy Space Center in Florida. Here, teams with the agency's Exploration Ground Systems and Jacobs Technology will fuel and service it alongside the Orion spacecraft as launch preparations continue. The NASA "Meatball" and European Space Agency logos also have been added to the fairings that cover the spacecraft's European Service Module. Additionally, a Northrop Grumman resupply services mission delivered containers of plant seeds to the International Space Station for the Materials International Space Station Experiment (MISSE) to study the effects of space radiation on seed quality and storage.</t>
  </si>
  <si>
    <t>4BYIeeLJNEI</t>
  </si>
  <si>
    <t>2021 02 19</t>
  </si>
  <si>
    <t>https://youtu.be/OBszj6tZ6G4</t>
  </si>
  <si>
    <t>Rocket Ranch 27  Being Black in the NASA Family, Finding Inspiration, and Becoming More Inclusive</t>
  </si>
  <si>
    <t>From the women whose calculations helped land the first man on the moon, to the first Black astronaut to live aboard the International Space Station for an extended stay, NASA has stretched the limits of what humankind can achieve due in no small part to the contributions of Black Americans. In this episode, Rocket Ranch welcomes Sheldon Lauderdale, Program Analyst for NASA's Commercial Crew Program, which last year returned human spaceflight to orbit from U.S. soil. Shel will tell us what it's like to be part of the NASA family. He'll share where he draws inspiration, plus, he’ll talk about his role supporting NASA’s efforts to expand diversity and inclusion to empower the next generation of explorers.</t>
  </si>
  <si>
    <t>OBszj6tZ6G4</t>
  </si>
  <si>
    <t>https://youtu.be/wA1kZaVyt-A</t>
  </si>
  <si>
    <t>Inside KSC! for Feb.19, 2021</t>
  </si>
  <si>
    <t>NASA’s Mars Perseverance rover landed on the Red Planet Thursday, nearly seven months after its liftoff from the Space Coast. Perseverance launched atop a United Launch Alliance Atlas V 541 rocket on July 30, 2020, from Space Launch Complex 41 at Cape Canaveral Air Force Station. Its target: the Jezero Crater, where it will look for signs of past life on Mars. Kennedy Space Center recently completed the second phase of an ongoing project to plant vegetation on about 4 and a half miles of dunes along the coast of the Atlantic Ocean. The sandbanks protect the center’s critical space facilities, launch infrastructure, workforce, and wildlife from severe weather threats like hurricanes and tropical storms.</t>
  </si>
  <si>
    <t>wA1kZaVyt-A</t>
  </si>
  <si>
    <t>2021 02 12</t>
  </si>
  <si>
    <t>https://youtu.be/PwhOEzVzDcQ</t>
  </si>
  <si>
    <t>Inside KSC! for Feb.12, 2021</t>
  </si>
  <si>
    <t>Kennedy Space Center's Crawlerway is undergoing a thorough conditioning campaign to prepare for Artemis I, and the four astronauts on NASA's SpaceX Crew-1 mission surpass the record for the most days in space for a crew flown on a U.S. human-rated spacecraft.</t>
  </si>
  <si>
    <t>PwhOEzVzDcQ</t>
  </si>
  <si>
    <t>2021 02 05</t>
  </si>
  <si>
    <t>https://youtu.be/3Zps8MPTfOY</t>
  </si>
  <si>
    <t>Artemis I Booster Stacking</t>
  </si>
  <si>
    <t>Teams with NASA's Exploration Ground Systems are stacking booster segments for the Space Launch System rocket inside the Vehicle Assembly Building at the agency's Kennedy Space Center in Florida. The segments are being stacked on the mobile launcher in preparation for the Artemis I launch. The twin boosters - each comprised of five segments - will provide 75% of thrust during launch. The first in a series of increasingly complex missions, Artemis I will pave the way for crewed flights to the Moon. Please note, some footage included in this video was prior to the COVID-19 federal mask mandate.</t>
  </si>
  <si>
    <t>3Zps8MPTfOY</t>
  </si>
  <si>
    <t>https://youtu.be/7m8E3mI8KQ8</t>
  </si>
  <si>
    <t>Inside KSC! for February 5, 2021</t>
  </si>
  <si>
    <t>NASA and Boeing announced they are targeting no earlier than Sept. 2021 for NASA’s Boeing Crew Flight Test, or CFT. The mission will be the Starliner spacecraft’s first flight with astronauts aboard.
NASA’s Commercial Crew Program is working toward the next crew mission to the International Space Station. Crew-2 will launch no earlier than April 20 from Kennedy Space Center.
Also, engineers are preparing the Orbital Syngas Commodity Augmentation Reactor, or OSCAR, for thermal testing at Kennedy. The tests are in preparation for a scheduled suborbital flight test later this year facilitated by NASA’s Flight Opportunities program.</t>
  </si>
  <si>
    <t>7m8E3mI8KQ8</t>
  </si>
  <si>
    <t>https://youtu.be/tpBYwlwiEIs</t>
  </si>
  <si>
    <t>Rocket Ranch Episode 26  Perseverance Rover  Rapid Disassembly, Martian Mission, and Beyond</t>
  </si>
  <si>
    <t>After a 300 million-mile journey through space, the Mars Perseverance rover is ready to begin the most challenging part of the trip: landing on the Red Planet. If successful, it will embark on the most advanced mission ever sent here - to discover if life ever existed on Mars. Hear about the incredibly complex maneuvers needed to land on the Red Planet and how Dr. Moogega Cooper, NASA Jet Propulsion Laboratory's planetary protection lead for Perseverance, and her team are actually protecting Mars.</t>
  </si>
  <si>
    <t>tpBYwlwiEIs</t>
  </si>
  <si>
    <t>2021 02 03</t>
  </si>
  <si>
    <t>https://youtu.be/HJkfrYYh5Yc</t>
  </si>
  <si>
    <t>Artemis I Hardware Arrives</t>
  </si>
  <si>
    <t>Booster segments for the Space Launch System rocket that will fly on the Artemis I mission have arrived at NASA's Kennedy Space Center in Florida, and stacking operations have begun inside the Vehicle Assembly Building (VAB). Before teams with Exploration Ground Systems began stacking segments on the mobile launcher though, the hardware was integrated and processed inside Kennedy's Rotation, Processing and Surge Facility prior to moving into the VAB. Artemis I is the first in a series of increasingly complex missions, paving the way for future crewed flights to the Moon. Please note, some footage included in this video was prior to the COVID-19 federal mask mandate.</t>
  </si>
  <si>
    <t>HJkfrYYh5Yc</t>
  </si>
  <si>
    <t>2021 01 29</t>
  </si>
  <si>
    <t>https://youtu.be/oW1E_mG0SFg</t>
  </si>
  <si>
    <t>Inside KSC! for Jan. 29, 2021</t>
  </si>
  <si>
    <t>NASA and Boeing announced that they are targeting no earlier than March 25 for the company's second Orbital Flight Test (OFT-2) to the International Space Station. Part of the agency's Commercial Crew Program, OFT-2 will serve as an end-to-end test flight to certify Boeing's transportation system is ready to fly crew. Also this week, Kennedy Space Center guests and employees honored astronauts who have lost their lives in the name of space exploration. On Jan. 28, a Day of Remembrance Ceremony was held at the Space Mirror Memorial at Kennedy's Visitor Complex. The date also marked the 35th anniversary of the Challenger tragedy.</t>
  </si>
  <si>
    <t>oW1E_mG0SFg</t>
  </si>
  <si>
    <t>2021 01 26</t>
  </si>
  <si>
    <t>https://youtu.be/4qhiGm2Df3A</t>
  </si>
  <si>
    <t>Rocket Ranch Episode 25  Lessons of Loss</t>
  </si>
  <si>
    <t>On this episode of the Rocket Ranch Podcast, hear from Michael Cianilli, director of NASA's Apollo Challenger Columbia Lessons Learned Program, as he discusses Challenger, her crew and their survivors, and how the agency carry forward the lessons NASA learned.</t>
  </si>
  <si>
    <t>4qhiGm2Df3A</t>
  </si>
  <si>
    <t>2021 01 22</t>
  </si>
  <si>
    <t>https://youtu.be/stxg0mGXlQ8</t>
  </si>
  <si>
    <t>Inside KSC! for Jan. 22, 2021</t>
  </si>
  <si>
    <t>The Orion spacecraft for NASA’s Artemis I mission is one step closer to its flight to the Moon. With manufacture and assembly complete, Orion moved from the Neil Armstrong Operations and Checkout Building to the Multi-Payload Processing Facility. Exploration Ground Systems and Jacobs teams, will complete ground processing for flight, which includes fueling and servicing the spacecraft in preparation for launch atop the Space Launch System later this year. Boeing’s Starliner spacecraft is being prepared for the company’s second Orbital Flight Test, OFT-2, as part of NASA’s Commercial Crew Program. A Docking System cover was installed on the Starliner crew module in the Commercial Crew and Cargo Processing Facility. Technicians also performed tests to measure the weight and balance of the spacecraft to ensure optimal performance during launch and re-entry.</t>
  </si>
  <si>
    <t>stxg0mGXlQ8</t>
  </si>
  <si>
    <t>2021 01 20</t>
  </si>
  <si>
    <t>https://youtu.be/IyWE_CIbqRU</t>
  </si>
  <si>
    <t>Artemis I  Orion Path to the Pad - Lift Onto Transporter and O&amp;C Departure</t>
  </si>
  <si>
    <t>IyWE_CIbqRU</t>
  </si>
  <si>
    <t>https://youtu.be/WL7mhmjOeEg</t>
  </si>
  <si>
    <t>Artemis I  Orion Path to the Pad - Transport from O&amp;C to MPPF</t>
  </si>
  <si>
    <t>WL7mhmjOeEg</t>
  </si>
  <si>
    <t>2021 01 15</t>
  </si>
  <si>
    <t>https://youtu.be/qtI3Sn5bZTw</t>
  </si>
  <si>
    <t>Inside KSC! for Jan. 15, 2021</t>
  </si>
  <si>
    <t>SpaceX's upgraded cargo Dragon spacecraft, which delivered critical supplies and material to the International Space Station for the 21st Commercial Resupply Services (CRS-21) mission, returned to Earth on Jan. 13 with a successful splashdown off the coast of Florida. Just hours after its arrival, time-critical science was delivered to labs at NASA's Kennedy Space Center for continued research and investigation. Also, production of the Orion spacecraft for Artemis I was officially announced complete. Now, teams with Exploration Ground Systems and Jacobs will begin ground processing ahead of launch.</t>
  </si>
  <si>
    <t>qtI3Sn5bZTw</t>
  </si>
  <si>
    <t>2021 01 08</t>
  </si>
  <si>
    <t>https://youtu.be/ffUx_QK8Njk</t>
  </si>
  <si>
    <t>Inside KSC  Jan. 8, 2021</t>
  </si>
  <si>
    <t>Important activities are taking place at Kennedy this week, as the Florida spaceport prepares to launch the most powerful rocket in the world later this year. Stacking of the Space Launch System rocket boosters for the Artemis I mission continued inside Kennedy’s Vehicle Assembly Building.
Also, Kennedy’s Mark Wiese, Gateway Deep Space Logistics manager, was the keynote speaker for the virtual “SpaceWaves” conference. Wiese discussed the importance of commercial opportunities in developing NASA’s deep space commercial supply chain that will enable the next Moon landing and Mars missions.</t>
  </si>
  <si>
    <t>ffUx_QK8Njk</t>
  </si>
  <si>
    <t>2020 12 22</t>
  </si>
  <si>
    <t>https://youtu.be/UbndtdZT_4U</t>
  </si>
  <si>
    <t>Artemis Path to the Pad  The Mobile Launcher and Launch Pad 39B</t>
  </si>
  <si>
    <t>NASA’s Artemis Program aims to land the first woman and next man on the Moon by 2024. The Exploration Ground Systems team at Kennedy Space Center is ensuring that the launch pad and mobile launcher are go for launch. The mobile launcher is the structure that will be used to process, stack and assemble the Space Launch System rocket and Orion Spacecraft before they roll to Launch Pad 39B.</t>
  </si>
  <si>
    <t>UbndtdZT_4U</t>
  </si>
  <si>
    <t>2020 12 18</t>
  </si>
  <si>
    <t>https://youtu.be/MQOrzEJnWo0</t>
  </si>
  <si>
    <t>Inside KSC! for Dec. 18, 2020</t>
  </si>
  <si>
    <t>NASA and Boeing are now targeting March 29, 2021, for the company’s second Orbital Flight Test, or OFT-2, to the International Space Station. Boeing’s CST-100 Starliner spacecraft will launch atop a United Launch Alliance Atlas V rocket from Cape Canaveral Space Force Station’s Space Launch Complex 41.
Also, On Monday, December 14, a team of researchers and engineers harvested radishes grown in the Advanced Plant Habitat ground unit at Kennedy. Part of the PH-02 experiment, this was a ground control for a similar crop of radishes grown on the International Space Station.</t>
  </si>
  <si>
    <t>MQOrzEJnWo0</t>
  </si>
  <si>
    <t>2020 12 17</t>
  </si>
  <si>
    <t>https://youtu.be/Yd8j6nRqvDk</t>
  </si>
  <si>
    <t>In-Situ Resource Utilization  #NASAatHome  Spaceport Series</t>
  </si>
  <si>
    <t>As NASA prepares to return to the Moon with the Artemis program, teams here at Kennedy Space Center are working to figure out how to generate products with local materials, a practice called in-situ resource utilization (ISRU).
Join us on Dec. 17, at 1 p.m. ET, for a new episode of #NASAatHome: Spaceport Series, as we learn more about ISRU and space recycling with Chemical Engineer Elspeth Petersen, Organic Processor Assembly’s Principal Investigator Luke Roberson and University of South Florida’s Professor of Environmental Engineering Daniel Yeh. These subject matter experts will chat with us about why ISRU is so important and how NASA is working to recycle in space efficiently and effectively.</t>
  </si>
  <si>
    <t>Yd8j6nRqvDk</t>
  </si>
  <si>
    <t>2020 12 16</t>
  </si>
  <si>
    <t>https://youtu.be/8GS00U76ADo</t>
  </si>
  <si>
    <t>Greenhouse in Antarctica Helping Astronauts on Long-Duration Missions</t>
  </si>
  <si>
    <t>A few intrepid researchers will begin an arduous journey to Antarctica on Dec. 20 to conduct plant cultivation investigations in an extremely remote region of the world at the German Neumayer III Station, operated by the Alfred Wegener Institute (AWI). One researcher heading to this desolate wilderness on the Ekstrom Ice Shelf is Jess Bunchek. The plant scientist from NASA’s Kennedy Space Center will be a guest researcher at the German Neumayer III Station, operated by the Alfred Wegener Institute (AWI). Bunchek will spend about a year investigating plant cultivation in isolated, confined, and extreme (ICE) environments in the EDEN ISS greenhouse, managed by the German Aerospace Center (DLR) Institute of Space Systems.
These efforts complement NASA research on growing plants in the ultimate closed loop environment – space. For more than 20 years, a multinational partnership has allowed astronauts to live and work in a unique microgravity laboratory aboard the International Space Station. Research conducted at the EDEN ISS greenhouse on this mission could benefit people on Earth and astronauts on future missions to the Moon and Mars.
Video Courtesy of NASA, DLR and AWI
Music Courtesy of Gothic Storm Music</t>
  </si>
  <si>
    <t>8GS00U76ADo</t>
  </si>
  <si>
    <t>https://youtu.be/k8MxCQJ9dy0</t>
  </si>
  <si>
    <t>Artemis Path to the Pad  Testing, software and the Launch Control Center</t>
  </si>
  <si>
    <t>NASA’s Exploration Ground Systems team in the Launch Control Center conducts a variety of tests and simulations inside the control center and at the launch pad to ensure they’re ready for the first launch of NASA’s Artemis Program. Learn more about the launch team and one of NASA’s major tests that ensure our Artemis ground equipment is go for launch.</t>
  </si>
  <si>
    <t>k8MxCQJ9dy0</t>
  </si>
  <si>
    <t>2020 12 11</t>
  </si>
  <si>
    <t>https://youtu.be/EGB7vR4AXSE</t>
  </si>
  <si>
    <t>Inside KSC! for Dec. 11, 2020</t>
  </si>
  <si>
    <t>A SpaceX Falcon 9 rocket and upgraded Cargo Dragon launched on the company’s 21st contracted commercial resupply mission for NASA to the International Space Station on December 6. The rocket lifted off at 11:17 a.m. EST from Launch Complex 39A. The Dragon spacecraft autonomously docked with the Harmony module on the orbiting laboratory the next day. Vice President Mike Pence chaired his eighth National Space Council meeting on Dec. 9 in the Saturn V Building at Kennedy Space Center. To close out the virtual meeting, NASA Administrator Jim Bridenstine and the White House announced the initial team of astronauts eligible for early Artemis missions with crew on and around the Moon.</t>
  </si>
  <si>
    <t>EGB7vR4AXSE</t>
  </si>
  <si>
    <t>2020 12 10</t>
  </si>
  <si>
    <t>https://youtu.be/KlQxwtDNJoQ</t>
  </si>
  <si>
    <t>Artemis Path to the Pad  Artemis at Kennedy Space Center</t>
  </si>
  <si>
    <t>NASA’s Exploration Ground Systems (EGS) team plays a critical role in NASA’s Artemis Program, which aims to land the first woman and next man on the Moon by 2024. Come behind the scenes into some of Kennedy Space Center’s historic sites and see how EGS is preparing for the launch of the Space Launch System rocket and Orion spacecraft for the first Artemis mission.</t>
  </si>
  <si>
    <t>KlQxwtDNJoQ</t>
  </si>
  <si>
    <t>2020 12 08</t>
  </si>
  <si>
    <t>https://youtu.be/gVAtIW7KMzQ</t>
  </si>
  <si>
    <t>Exploration Ground Systems  #NASAatHome  Spaceport Series</t>
  </si>
  <si>
    <t>Exploration Ground Systems is preparing the infrastructure to support NASA’s Space Launch System rocket and Orion spacecraft as part of the agency’s Artemis program.
Join us on Dec. 8 at 1 p.m., for a new episode of #NASAatHome: Spaceport Series, as we chat with NASA’s Exploration Ground Systems' Comms Systems Project Manager Yves Lamothe, about the goal of landing humans back on the Moon; and Jeremy Graeber, chief of the Test, Launch and Recovery Operations Branch within Exploration Ground Systems to discuss the steps being taken to prepare for the Artemis I launch.</t>
  </si>
  <si>
    <t>gVAtIW7KMzQ</t>
  </si>
  <si>
    <t>2020 12 06</t>
  </si>
  <si>
    <t>https://youtu.be/fG86A99PvvU</t>
  </si>
  <si>
    <t>CRS-21 Executes Second Stage Separation</t>
  </si>
  <si>
    <t>Second stage separation is complete, and the Cargo Dragon Spacecraft is flying on its own, on the way to the International Space Station.</t>
  </si>
  <si>
    <t>fG86A99PvvU</t>
  </si>
  <si>
    <t>https://youtu.be/1U6xbpYRia8</t>
  </si>
  <si>
    <t>Final Countdown and Liftoff on the CRS-21 Mission!</t>
  </si>
  <si>
    <t>Watch SpaceX's Falcon 9 rocket, topped with the company's Cargo Dragon spacecraft, lift off from Kennedy Space Center's Launch Complex 39A in Florida.</t>
  </si>
  <si>
    <t>1U6xbpYRia8</t>
  </si>
  <si>
    <t>https://youtu.be/EZrliokfWVk</t>
  </si>
  <si>
    <t>CRS-21 Broadcast Begins at NASA's Kennedy Space Center</t>
  </si>
  <si>
    <t>Watch live coverage from NASA's Kennedy Space Center in Florida of SpaceX's CRS-21 mission to the International Space Station.</t>
  </si>
  <si>
    <t>EZrliokfWVk</t>
  </si>
  <si>
    <t>2020 12 04</t>
  </si>
  <si>
    <t>https://youtu.be/8mqwMq90CgU</t>
  </si>
  <si>
    <t>SpaceX CRS-21  El primer lanzamiento en su tipo</t>
  </si>
  <si>
    <t>El primer lanzamiento de SpaceX bajo el segundo contrato de Servicios de Reabastecimiento Comercial de la NASA, CRS-21, también contiene una variedad de otros primeros logros para esta misión. Mira este video para aprender cómo esta 21a misión de reabastecimiento comercial es diferente a todas las anteriores.
Music Courtesy of Gothic Storm Music</t>
  </si>
  <si>
    <t>8mqwMq90CgU</t>
  </si>
  <si>
    <t>https://youtu.be/enxy1mpwzeo</t>
  </si>
  <si>
    <t>Inside KSC! December 4, 2020</t>
  </si>
  <si>
    <t>The twin solid rocket boosters that will help NASA’s Artemis I mission get off the ground next year are coming together. Teams with Exploration Ground Systems, and contractor Jacobs, have started stacking both of the five-segment boosters on top of the mobile launcher platform inside Kennedy’s historic Vehicle Assembly Building.
Also, NASA and SpaceX are gearing up for the company's 21st commercial resupply services mission to the International Space Station. The SpaceX CRS-21 mission will deliver science investigations, supplies, and equipment to the orbiting laboratory. Liftoff of the SpaceX Falcon 9 rocket is slated for Saturday, Dec. 5, at 11:39 a.m. Eastern, from Kennedy's Launch Complex 39A.</t>
  </si>
  <si>
    <t>enxy1mpwzeo</t>
  </si>
  <si>
    <t>https://youtu.be/ZdobdzBO-3k</t>
  </si>
  <si>
    <t>SpaceX's CRS-21  The First of its Kind</t>
  </si>
  <si>
    <t>The first launch for SpaceX under NASA's second Commercial Resupply Services contract, CRS-21 also contains a variety of other mission firsts. Watch the video to learn all of the ways this 21st mission to the International Space Station is different than its predecessors.
Music Courtesy of Gothic Storm Music</t>
  </si>
  <si>
    <t>ZdobdzBO-3k</t>
  </si>
  <si>
    <t>2020 11 21</t>
  </si>
  <si>
    <t>https://youtu.be/2NzzfQ0ehcU</t>
  </si>
  <si>
    <t>Sentinel-6 Michael Freilich Launch  Interview with Omar Baez</t>
  </si>
  <si>
    <t>NASA Communications' Derrol Nail and Marina Jurica interview Omar Baez, launch manager for the agency's Launch Services Program, following the successful launch of the Sentinel-6 Michael Freilich mission. The satellite lifted off aboard a SpaceX Falcon 9 rocket at 9:17 a.m. PST (12:17 EST) from Space Launch Complex 4 at Vandenberg Air Force Base in California. An international collaboration between NASA and several partners, the mission will collect sea level measurements, as well as help improve weather forecasts and climate models.</t>
  </si>
  <si>
    <t>2NzzfQ0ehcU</t>
  </si>
  <si>
    <t>https://youtu.be/EK-edpLvDwo</t>
  </si>
  <si>
    <t>Sentinel-6 Michael Freilich Spacecraft Separation</t>
  </si>
  <si>
    <t>The Sentinel-6 Michael Freilich satellite separated from the SpaceX Falcon 9 rocket's second stage and is now flying on its own. Liftoff took place at 9:17 a.m. PST (12:17 p.m. EST) from Space Launch Complex 4 at Vandenberg Air Force Base in California on Nov. 21, 2020. The mission is an international collaboration between NASA and several partners, and it is the first of two identical satellites to be launched this year and in 2025 to continue observations of sea level change for at least the next decade.</t>
  </si>
  <si>
    <t>EK-edpLvDwo</t>
  </si>
  <si>
    <t>https://youtu.be/Em01wT-X7QQ</t>
  </si>
  <si>
    <t>Liftoff of the Sentinel-6 Michael Freilich Satellite</t>
  </si>
  <si>
    <t>The Sentinel-6 Michael Freilich satellite, carried atop a SpaceX Falcon 9 rocket, lifts off from Space Launch Complex 4 at Vandenberg Air Force Base in California on Nov. 21, 2020. Launch occurred at 9:17 a.m. PST (12:17 p.m. EST). The mission is an international collaboration between NASA and several partners, and it will collect the most accurate data yet on global sea level and how our oceans are rising in response to climate change. NASA's Launch Services Program based at Kennedy Space Center was responsible for launch management.</t>
  </si>
  <si>
    <t>Em01wT-X7QQ</t>
  </si>
  <si>
    <t>https://youtu.be/4RHwkZLOmMQ</t>
  </si>
  <si>
    <t>Sentinel-6 Michael Freilich Launch Broadcast Begins</t>
  </si>
  <si>
    <t>Live coverage begins for the launch of the Sentinel-6 Michael Freilich satellite from Vandenberg Air Force Base in California on Nov. 21, 2020. The mission is an international collaboration between NASA and several partners and is the first of two identical satellites to be launched this year and in 2025 to continue observations of sea level change for at least the next decade. NASA's Launch Services Program based at Kennedy Space Center in Florida is responsible for launch management.</t>
  </si>
  <si>
    <t>4RHwkZLOmMQ</t>
  </si>
  <si>
    <t>2020 11 20</t>
  </si>
  <si>
    <t>https://youtu.be/wbcWwbIlaO8</t>
  </si>
  <si>
    <t>Inside KSC! for Nov. 20, 2020</t>
  </si>
  <si>
    <t>Mike Hopkins, Victor Glover, Shannon Walker, and Soichi Noguchi made history on the first crew rotation flight of a U.S. commercial spacecraft with astronauts to the space station. They lifted off from Kennedy Space Center’s Launch Complex 39A on NASA’s SpaceX Crew-1 mission. Also, segments of solid rocket boosters for NASA’s Space Launch System, or SLS, arrived at Kennedy’s iconic Vehicle Assembly Building. The boosters will help support the weight of the remaining rocket pieces and Orion spacecraft.</t>
  </si>
  <si>
    <t>wbcWwbIlaO8</t>
  </si>
  <si>
    <t>2020 11 16</t>
  </si>
  <si>
    <t>https://youtu.be/WTEOcKhwAi4</t>
  </si>
  <si>
    <t>NASA's SpaceX Crew-1  Liftoff</t>
  </si>
  <si>
    <t>NASA's SpaceX Crew-1 mission gets underway with the successful liftoff of the company's Falcon 9 rocket and Crew Dragon spacecraft carrying NASA astronauts Mike Hopkins, Victor Glover, Shannon Walker, and Japan Aerospace Exploration Agency astronaut Soichi Noguchi. Launch occurred Nov. 15, 2020, at 7:27 p.m. EST from historic Launch Complex 39A at NASA's Kennedy Space Center in Florida. Crew-1 is the first regular crew mission of a U.S. commercial spacecraft with astronauts to the International Space Station as part of NASA’s Commercial Crew Program.</t>
  </si>
  <si>
    <t>WTEOcKhwAi4</t>
  </si>
  <si>
    <t>2020 11 15</t>
  </si>
  <si>
    <t>https://youtu.be/9hw6SBiJ2Ns</t>
  </si>
  <si>
    <t>NASA's SpaceX Crew-1  Astronaut Walkout</t>
  </si>
  <si>
    <t>NASA astronauts Michael Hopkins, Victor Glover, and Shannon Walker, and astronaut Soichi Noguchi of the Japan Aerospace Exploration Agency (JAXA), suited in their SpaceX spacesuits, walk out of the Neil Armstrong Operations and Checkout Building at NASA's Kennedy Space Center in Florida ahead of liftoff on the agency's SpaceX Crew-1 mission. Crew-1 is the first regular crew mission of a U.S. commercial spacecraft with astronauts to the International Space Station as part of NASA’s Commercial Crew Program. The SpaceX Crew Dragon Resilience capsule will launch atop the company’s Falcon 9 rocket from Launch Complex 39A to the space station for a six-month science mission.</t>
  </si>
  <si>
    <t>9hw6SBiJ2Ns</t>
  </si>
  <si>
    <t>https://youtu.be/8B404g4vgEE</t>
  </si>
  <si>
    <t>NASA's SpaceX Crew-1  Astronauts Suit Up for Launch</t>
  </si>
  <si>
    <t>NASA's SpaceX Crew-1 crew members -- NASA astronauts Michael Hopkins, Victor Glover, and Shannon Walker, and astronaut Soichi Noguchi of the Japan Aerospace Exploration Agency (JAXA) -- don their spacesuits inside the Astronaut Crew Quarters in Kennedy Space Center's Neil Armstrong Operations and Checkout Building. Crew-1 is the first regular crew mission of a U.S. commercial spacecraft with astronauts to the International Space Station as part of NASA’s Commercial Crew Program. The SpaceX Crew Dragon Resilience capsule will launch atop the company’s Falcon 9 rocket from Launch Complex 39A to the space station for a six-month science mission.</t>
  </si>
  <si>
    <t>8B404g4vgEE</t>
  </si>
  <si>
    <t>https://youtu.be/15vPL00MLqs</t>
  </si>
  <si>
    <t>NASA's SpaceX Crew-1  Launch Broadcast Begins</t>
  </si>
  <si>
    <t>NASA and SpaceX kick off televised coverage of the countdown to liftoff of the agency's SpaceX Crew-1 mission. Crew-1 is the first regular crew mission of a U.S. commercial spacecraft with astronauts to the International Space Station as part of NASA’s Commercial Crew Program. The SpaceX Crew Dragon Resilience capsule will launch atop the company’s Falcon 9 rocket from Launch Complex 39A to the space station for a six-month science mission.</t>
  </si>
  <si>
    <t>15vPL00MLqs</t>
  </si>
  <si>
    <t>2020 11 13</t>
  </si>
  <si>
    <t>https://youtu.be/kQhpiUcGkkY</t>
  </si>
  <si>
    <t>Inside KSC! for Nov. 13, 2020</t>
  </si>
  <si>
    <t>The four-person crew of NASA's SpaceX Crew-1 mission is at Kennedy Space Center preparing to launch to the International Space Station aboard the SpaceX Crew Dragon atop the company's Falcon 9 rocket. This will be SpaceX's first regular, long-duration flight to the station for NASA's Commercial Crew Program. Meanwhile, Kennedy teams have finished installing the Orion spacecraft's three spacecraft adapter jettison fairing panels, which will protect its European Service Module during launch on NASA's Space Launch System rocket. Artemis I will test SLS and Orion as an integrated system ahead of crewed flights to the Moon.</t>
  </si>
  <si>
    <t>kQhpiUcGkkY</t>
  </si>
  <si>
    <t>https://youtu.be/Z0R9RgAYItE</t>
  </si>
  <si>
    <t>Crew-1 Virtual NASA Social  Countdown Clock Show</t>
  </si>
  <si>
    <t>Join us for the Crew-1 Virtual NASA Social as we chat with representatives from NASA and JAXA! Starting at 11 a.m. ET, you'll have the chance to learn more about the Crew-1 mission and the Commercial Crew Program. Have a question for our guests? Be sure to share in the comments below for a chance to be featured on our live feed.</t>
  </si>
  <si>
    <t>Z0R9RgAYItE</t>
  </si>
  <si>
    <t>2020 11 10</t>
  </si>
  <si>
    <t>https://youtu.be/B7r1uHvcamY</t>
  </si>
  <si>
    <t>NASA Certifies SpaceX Crew Transportation System for Regular Astronaut Flights to Space</t>
  </si>
  <si>
    <t>NASA completed signing of the Human Rating Certification Plan for SpaceX’s crew transportation system on Tuesday, Nov. 10, 2020. The Crew Dragon, including the Falcon 9 rocket and associated ground systems, is the first new crew spacecraft to be NASA-certified for regular flights with astronauts since the space shuttle nearly 40 years ago. Several critical events paved the way for the landmark announcement, including grounds tests, simulations, uncrewed flight tests and a successful test flight with astronauts aboard.</t>
  </si>
  <si>
    <t>B7r1uHvcamY</t>
  </si>
  <si>
    <t>2020 11 05</t>
  </si>
  <si>
    <t>https://youtu.be/zvFW9i93B2U</t>
  </si>
  <si>
    <t>Inside KSC! for Nov. 6, 2020</t>
  </si>
  <si>
    <t>The mobile launcher that will carry the Space Launch System and Orion spacecraft for NASA’s Artemis I mission rolled back atop crawler-transporter 2 from Launch Pad 39B to the Vehicle Assembly Building. The mobile launcher spent 10 days at the pad while the Exploration Ground Systems team completed a countdown demonstration test. In recognition of the 30th anniversary of the enactment of the American with Disabilities Act, students and job seekers with disabilities were invited to participate in Kennedy’s “Virtual disABILITY Mentorship Day.” Sponsored by the center’s Disability Awareness and Action Working Group, the goal is to encourage people with disabilities to take part in NASA’s human exploration from Moon to Mars.</t>
  </si>
  <si>
    <t>zvFW9i93B2U</t>
  </si>
  <si>
    <t>2020 11 02</t>
  </si>
  <si>
    <t>https://youtu.be/2uRBfj75IQY</t>
  </si>
  <si>
    <t>Partnering with NASA</t>
  </si>
  <si>
    <t>Learn more about NASA's strategic partnerships with academic, non-profit and industry partners dedicated to advancing the goals of the Agency and world at large.</t>
  </si>
  <si>
    <t>2uRBfj75IQY</t>
  </si>
  <si>
    <t>2020 10 30</t>
  </si>
  <si>
    <t>https://youtu.be/xSA3GQOOgAQ</t>
  </si>
  <si>
    <t>Inside KSC! for Oct. 30, 2020</t>
  </si>
  <si>
    <t>This week, NASA and SpaceX announced they are now targeting Saturday, Nov. 14, for their first crew rotation mission to the International Space Station under the agency's Commercial Crew Program - titled Crew-1. The Falcon 9 rocket is scheduled to lift off from Kennedy Space Center's Launch Complex 39A in Florida at 7:49 p.m. EST. Also, Kennedy's senior leaders recognized the achievements of NASA and contractor employees during the NASA KSC Honor Awards Ceremony. Due to COVID-19 restrictions, this year's ceremony was pre-recorded and held virtually.</t>
  </si>
  <si>
    <t>xSA3GQOOgAQ</t>
  </si>
  <si>
    <t>2020 10 29</t>
  </si>
  <si>
    <t>https://youtu.be/aePzJ8XpwZo</t>
  </si>
  <si>
    <t>Artemis I Booster Processing</t>
  </si>
  <si>
    <t>Exploration Ground Systems teams have finished processing the ten segments of the two solid rocket boosters for Artemis I. The segments will be the first pieces of the Space Launch System rocket to be stacked on the mobile launcher in the Vehicle Assembly Building at Kennedy Space Center. Artemis I is the first test mission that will lead to sending the first woman and the next man to the Moon.</t>
  </si>
  <si>
    <t>aePzJ8XpwZo</t>
  </si>
  <si>
    <t>2020 10 23</t>
  </si>
  <si>
    <t>https://youtu.be/TVhvvhTCoDc</t>
  </si>
  <si>
    <t>Inside KSC! for Oct. 23, 2020</t>
  </si>
  <si>
    <t>NASA’s mobile launcher was once again on the move. The structure that will carry the Space Launch System and Orion spacecraft for Artemis I traveled to Kennedy Space Center’s Launch Pad 39B atop crawler transporter-2. During the mobile launcher’s two-week stay at the pad, engineers will perform several tasks, including a timing test to validate the launch team’s countdown timeline. Under the Artemis program, NASA will land the first woman and the next man on the Moon in 2024. NASA has awarded a Houston company approximately $47 million for a very important Moon mission. Intuitive Machines will deliver a drill combined with a mass spectrometer to the Moon by December 2022 under NASA’s Commercial Lunar Payload Services initiative.</t>
  </si>
  <si>
    <t>TVhvvhTCoDc</t>
  </si>
  <si>
    <t>2020 10 22</t>
  </si>
  <si>
    <t>https://youtu.be/33E3zecrWMA</t>
  </si>
  <si>
    <t>#NASAatHome Spaceport Series Episode 20  Gateway and Commercial Partnerships</t>
  </si>
  <si>
    <t>On this episode of the Spaceport Series we chat with NASA’s Gateway Deep Space Logistics’ element architect Dr. Jeffrey Smith, about how the Gateway is key to sustainable deep space exploration; and Mary Faller, Senior Mission Manager for NASA’s Launch Services Program discusses the commercial partnerships necessary to ensure Gateway’s success.</t>
  </si>
  <si>
    <t>33E3zecrWMA</t>
  </si>
  <si>
    <t>2020 10 21</t>
  </si>
  <si>
    <t>https://youtu.be/pjGB2zGjJpY</t>
  </si>
  <si>
    <t>Artemis Path to the Pad  Crawler-Transporter 2</t>
  </si>
  <si>
    <t>NASA’s Exploration Ground Systems is doing some heavy lifting on the path to the pad for Artemis I. Take a look around with this exclusive access to the crawler transporter in a Virtual Reality 360 tour. This mega flatbed will take the entire stack of the mobile launcher, Space Launch System rocket and the Orion spacecraft out to Launch Pad 39B for liftoff.</t>
  </si>
  <si>
    <t>pjGB2zGjJpY</t>
  </si>
  <si>
    <t>2020 10 16</t>
  </si>
  <si>
    <t>https://youtu.be/B-tOYeKgKTM</t>
  </si>
  <si>
    <t>Inside KSC! for Oct. 16, 2020</t>
  </si>
  <si>
    <t>The Nanoracks Bishop Airlock - the first commercially funded airlock for the International Space Station - is ready for its journey to space. Teams packed the airlock in the trunk of SpaceX's Dragon spacecraft in preparation for the company's 21st Commercial Resupply Services mission to the orbiting laboratory. This will be the first flight of SpaceX's upgraded cargo version of Dragon, which is scheduled to lift off from Kennedy's Launch Complex 39A. Also this week, Kennedy kicked off the 2020 Combined Federal Campaign - one the largest workplace giving campaigns in the world.</t>
  </si>
  <si>
    <t>B-tOYeKgKTM</t>
  </si>
  <si>
    <t>2020 10 09</t>
  </si>
  <si>
    <t>https://youtu.be/v9aIFHjQH8Q</t>
  </si>
  <si>
    <t>Inside KSC! for Oct. 9, 2020</t>
  </si>
  <si>
    <t>NASA’s Orion Program Manager Catherine Koerner, along with KSC senior managers from Orion, Lockheed Martin and EGS, recently visited Kennedy Space Center. They toured the Neil Armstrong Operations and Checkout Building high bay, where they viewed Orion spacecraft for the Artemis I and II missions. They also toured the Multi-Payload Processing Facility and the Launch Abort System Facility, where hardware for Artemis I and II are being processed. Engineers and technicians are completing assembly work inside the Space Station Processing Facility, on flight hardware for the Mass Spectrometer Observing Lunar Operations. MSolo, is a commercial off-the shelf mass spectrometer modified to work in space and will be an instrument on the agency’s first mission as part of the Commercial Lunar Payload Services.</t>
  </si>
  <si>
    <t>v9aIFHjQH8Q</t>
  </si>
  <si>
    <t>2020 10 08</t>
  </si>
  <si>
    <t>https://youtu.be/kZzLaWHtymI</t>
  </si>
  <si>
    <t>#NASAatHome Spaceport Series episode 19  launching and landing a rover on Mars</t>
  </si>
  <si>
    <t>On this episode of the Spaceport Series we chat with two subject matter experts about what goes in to successfully launching and landing the Perseverance Mars rover. After a successful launch on July 30, 2020 the rover is well on its way to the Red Planet where it will touchdown on Feb. 18, 2021.</t>
  </si>
  <si>
    <t>kZzLaWHtymI</t>
  </si>
  <si>
    <t>2020 10 05</t>
  </si>
  <si>
    <t>https://youtu.be/AopLE4SrtCI</t>
  </si>
  <si>
    <t>Rocket Ranch Episode 24  Space Lullaby</t>
  </si>
  <si>
    <t>Astronaut Chris Hadfield’s cover of David Bowie's Space Oddity that he recorded while on the International Space Station has over 47 million views. Now retired, the veteran of three spaceflights and first Canadian to walk in space has given a lot of thought to the future of space exploration and what it can mean for all of us. Hear from him now on this episode of the Rocket Ranch.</t>
  </si>
  <si>
    <t>AopLE4SrtCI</t>
  </si>
  <si>
    <t>2020 10 02</t>
  </si>
  <si>
    <t>https://youtu.be/dIVMY5fPnSI</t>
  </si>
  <si>
    <t>Inside KSC! for Oct. 2, 2020</t>
  </si>
  <si>
    <t>NASA's "worm" logo is making an appearance for the agency's Artemis I mission. Teams with NASA's Exploration Ground Systems and contractor Jacobs recently painted the iconic logo onto the two Space Launch System rocket's boosters, and a decal of the logo was added to Orion's crew module adapter as well. Also this week, Kennedy Space Center received two Airbus H135 helicopters to add to its fleet of security choppers. And finally, the National Fire Protection Association's Fire Prevention Week kicks off Sunday, Oct. 4, with a focus on fire safety in the kitchen.</t>
  </si>
  <si>
    <t>dIVMY5fPnSI</t>
  </si>
  <si>
    <t>2020 09 29</t>
  </si>
  <si>
    <t>https://youtu.be/p5jjf-kHcT0</t>
  </si>
  <si>
    <t>Radish Experiment Ready for Launch</t>
  </si>
  <si>
    <t>As we prepare to send humans back to the Moon and on to Mars, the need for astronauts to grow fresh food in space is greater than ever. Plant Habitat-02, or PH-02, is an experiment launching on Northrop Grumman’s 14th resupply mission to the International Space Station.
Lifting off from NASA’s Wallops Flight Facility in Virginia, PH-02 will study the growth of radishes inside the space station’s Advanced Plant Habitat – an enclosed growth chamber that lets us study how plants behave in a microgravity environment. The way the chamber works requires little maintenance from the crew. It uses LED lights, a porous clay material and a controlled release of fertilizer to deliver water, nutrients and oxygen to the plant’s roots.
Inside the chamber are cameras and more than 180 sensors, providing a constant stream of contact to researchers at the agency’s Kennedy Space Center in Florida. Things like water distribution, atmosphere content, moisture levels and temperatures are all automated. The successful growth of radishes will help us better understand what it takes to grow a variety of fresh fruits and vegetables in space – something that astronauts need to not only remain healthy, but also to remind them of home.</t>
  </si>
  <si>
    <t>p5jjf-kHcT0</t>
  </si>
  <si>
    <t>2020 09 25</t>
  </si>
  <si>
    <t>https://youtu.be/ODB-oDlf25M</t>
  </si>
  <si>
    <t>Inside KSC! for Sept. 25, 2020</t>
  </si>
  <si>
    <t>Installation of the solar array wings for the Orion spacecraft that will fly on the agency's Artemis I mission has begun inside the Neil Armstrong Operations and Checkout Building at Kennedy Space Center in Florida. These will provide the spacecraft's power, propulsion, air, and water. Also, two seed carriers for PH-02 - a plant experiment featuring radishes - bound for the Advanced Plant Habitat on the International Space Station were planted this week. The seeds will fly aboard Northrop Grumman's 14th commercial resupply services mission. Liftoff of the Cygnus spacecraft is scheduled for Sept. 29 from NASA's Wallops Flight Facility in Virginia.</t>
  </si>
  <si>
    <t>ODB-oDlf25M</t>
  </si>
  <si>
    <t>2020 09 24</t>
  </si>
  <si>
    <t>https://youtu.be/tBe2A63ipAM</t>
  </si>
  <si>
    <t>#NASAatHome Spaceport Series episode 18  NASA's Commercial Crew Program</t>
  </si>
  <si>
    <t>NASA's Commercial Crew Program is working with the American aerospace industry as companies develop and operate a new generation of spacecraft and launch systems capable of carrying crews to low-Earth orbit and the International Space Station. Learn more about the program and how it is enabling NASA to travel to deep space destinations.</t>
  </si>
  <si>
    <t>tBe2A63ipAM</t>
  </si>
  <si>
    <t>2020 09 18</t>
  </si>
  <si>
    <t>https://youtu.be/7r-6M2HVkgE</t>
  </si>
  <si>
    <t>Inside KSC! for Sept. 18, 2020</t>
  </si>
  <si>
    <t>Teams with NASA's Exploration Ground Systems rehearsed booster stacking operations using mock-ups, referred to as pathfinders, inside the Vehicle Assembly Building at the agency's Kennedy Space Center in Florida. The exercise involved preparing an aft pathfinder segment in High Bay 4, lifting and moving it over to High Bay 3, and placing it on the mobile launcher. A center pathfinder segment also was added to the stack. Also this week, Kennedy employees participated in the Occupational Safety and Health Administration's "stand down to prevent falls" campaign.</t>
  </si>
  <si>
    <t>7r-6M2HVkgE</t>
  </si>
  <si>
    <t>2020 09 11</t>
  </si>
  <si>
    <t>https://youtu.be/Pt-hteeok6g</t>
  </si>
  <si>
    <t>Inside KSC! for Sept. 11, 2020</t>
  </si>
  <si>
    <t>NASA’s fifth core value – inclusion – was installed in the Central Campus lobby on Sept. 1, 2020. This fifth core value was added to the existing values embraced by NASA: safety, integrity, teamwork, and excellence. Technicians inside the Neil Armstrong Operations and Checkout Building lowered the Artemis I Orion spacecraft into the FAST cell after completing installation of the spacecraft adapter cone. This is one of the final major hardware operations the spacecraft will undergo during closeout processing before integration with the Space Launch System rocket. The last of three motors required to assemble the Launch Abort System for NASA’s Artemis II mission, the first crewed flight, arrived by truck at the Launch Abort System Facility. The attitude control motor, manufactured by Northrop Grumman, works with the other motors – the launch abort motor and the jettison motor -- to separate the spacecraft from the rocket in the unlikely event of an emergency during launch and steer the spacecraft carrying the astronauts to safety.</t>
  </si>
  <si>
    <t>Pt-hteeok6g</t>
  </si>
  <si>
    <t>2020 09 04</t>
  </si>
  <si>
    <t>https://youtu.be/wCq9bj0HUic</t>
  </si>
  <si>
    <t>Inside KSC! for Sept. 4, 2020</t>
  </si>
  <si>
    <t>Russell Vought, director of the White House Office of Management and Budget, visited NASA's Kennedy Space Center in Florida to meet with NASA leadership and tour key agency and partner facilities. Accompanying him on the tour was Center Director Bob Cabana and Deputy Director Janet Petro. Also, teams with Boeing are working on the final assembly of the CST-100 Starliner spacecraft's crew and service modules for the company's uncrewed Orbital Flight Test-2. Launch is targeted for no earlier than December 2020.</t>
  </si>
  <si>
    <t>wCq9bj0HUic</t>
  </si>
  <si>
    <t>2020 09 02</t>
  </si>
  <si>
    <t>https://youtu.be/VmE_8F-g1wc</t>
  </si>
  <si>
    <t>Installation of Orion's Spacecraft Adapter Cone Complete</t>
  </si>
  <si>
    <t>Technicians at NASA’s Kennedy Space Center in Florida work to safely return the Artemis I Orion spacecraft to the FAST cell after completing the installation of the spacecraft adapter (SA) cone inside the Neil Armstrong Operations and Checkout Building on Aug. 20, 2020. This is one of the final major hardware operations the spacecraft will undergo during closeout processing prior to being integrated with the Space Launch System (SLS) rocket in preparation for the first Artemis mission.</t>
  </si>
  <si>
    <t>VmE_8F-g1wc</t>
  </si>
  <si>
    <t>https://youtu.be/jnKRaTpUAdA</t>
  </si>
  <si>
    <t>Inside KSC! for June 12, 2020</t>
  </si>
  <si>
    <t>The two aft skirts for NASA's Space Launch System twin solid rocket boosters for Artemis I were moved from the Booster Fabrication Facility to the Rotation, Processing and Surge Facility (RPSF) this week. The aft skirts, which house the thrust vector control system, controls 70 percent of the steering during initial ascent of the SLS rocket. They will remain in the RPSF until ready for stacking with the other booster segments in High Bay 3 of the Vehicle Assembly Building. Also this week, Kennedy Space Center Director Bob Cabana led a virtual town hall meeting for the center's workforce. He and other senior staff addressed the center's Return to Site plan and answered questions from the workforce.</t>
  </si>
  <si>
    <t>jnKRaTpUAdA</t>
  </si>
  <si>
    <t>2020 08 28</t>
  </si>
  <si>
    <t>https://youtu.be/7epFp7QcZaI</t>
  </si>
  <si>
    <t>Inside KSC! for August 28, 2020</t>
  </si>
  <si>
    <t>The Artemis I launch team conducted a key simulation on the procedures for cryogenic loading, or fueling the Space Launch System rocket with super cold propellants, inside NASA Kennedy Space Center’s firing room. Several more practices are planned at the Florida spaceport ahead of liftoff of the agency’s SLS rocket and Orion spacecraft. 
And Astronaut Jeanette Epps has been assigned to NASA’s Boeing Starliner-1 mission to the International Space Station. It will be the first operational crewed flight of Boeing’s CST-100 Starliner spacecraft.</t>
  </si>
  <si>
    <t>7epFp7QcZaI</t>
  </si>
  <si>
    <t>2020 08 21</t>
  </si>
  <si>
    <t>https://youtu.be/WZl30DgDohg</t>
  </si>
  <si>
    <t>Inside KSC! for August 21, 2020</t>
  </si>
  <si>
    <t>NASA and SpaceX announced they are targeting no earlier than October 23, 2020, for launch of Crew-1, their first operational flight with crew to the International Space Station. Also, senior leaders at NASA's Kennedy Space Center held a virtual town hall meeting on August 20, including looking back at the success of recent launches, upcoming events, and updates on the criteria for returning to on-site work.</t>
  </si>
  <si>
    <t>WZl30DgDohg</t>
  </si>
  <si>
    <t>2020 08 14</t>
  </si>
  <si>
    <t>https://youtu.be/KkD3z1hqgQc</t>
  </si>
  <si>
    <t>Inside KSC! for August 14, 2020</t>
  </si>
  <si>
    <t>With 2020 more than half way through, the workforce at Kennedy Space Center is gearing up for a busy rest of the year and 2021. NASA’s SpaceX Crew-1 mission is targeted to launch from Kennedy to the International Space Station this fall. Hardware is arriving for the first uncrewed flight test of NASA’s Space Launch System and the Orion spacecraft, Artemis I. The Launch Services Program, led by Kennedy, will manage the launch of the Sentinel-6 Michael Freilich satellite scheduled for November from Vandenberg Air Force Base in California. Earlier this week, technicians donned protective equipment to perform work for a future mission on the flight hardware for NASA’s Orbital Syngas Commodity Augmentation Reactor, or OSCAR, at the Space Station Processing Facility.</t>
  </si>
  <si>
    <t>KkD3z1hqgQc</t>
  </si>
  <si>
    <t>2020 08 11</t>
  </si>
  <si>
    <t>https://youtu.be/9PZd1jFCVSQ</t>
  </si>
  <si>
    <t>NASA, SpaceX Complete History-Making Demo-2 Mission</t>
  </si>
  <si>
    <t>NASA astronauts Robert Behnken and Douglas Hurley launched from American soil in a commercially built and operated American crew spacecraft to the International Space Station on Saturday, May 30. Watch their liftoff from Kennedy Space Center in Florida, their arrival to the orbiting laboratory, their successful splashdown, and their post-flight comments on the successful Demo-2 mission.
Music: www.digitaljuice.com</t>
  </si>
  <si>
    <t>9PZd1jFCVSQ</t>
  </si>
  <si>
    <t>2020 08 07</t>
  </si>
  <si>
    <t>https://youtu.be/zwpD91NTFcA</t>
  </si>
  <si>
    <t>Inside KSC! Aug. 7, 2020</t>
  </si>
  <si>
    <t>A critical piece of hardware for NASA’s Space Launch System rocket has arrived at the agency’s Kennedy Space Center in Florida. Now undergoing processing inside the Vehicle Assembly Building (VAB), the launch vehicle stage adapter (LVSA) will connect the core stage of the rocket to the upper stage. It will remain inside the VAB until it’s time for stacking on the mobile launcher ahead of the Artemis I launch. Also, NASA astronauts Robert Behnken and Douglas Hurley safely returned to Earth, splashing down in the Gulf of Mexico off the coast of Florida. This successful splashdown and recovery marked the end of NASA’s SpaceX Demo-2 mission, paving the way for NASA to certify SpaceX’s crew transportation system for regular, crewed flights to the International Space Station.</t>
  </si>
  <si>
    <t>zwpD91NTFcA</t>
  </si>
  <si>
    <t>2020 08 04</t>
  </si>
  <si>
    <t>https://youtu.be/jO8kiJREX9Y</t>
  </si>
  <si>
    <t>Kennedy Director Commends Workforce on Outstanding Mission Efforts</t>
  </si>
  <si>
    <t>Kennedy Space Center Director Bob Cabana praised the Florida spaceport’s employees for their contributions to important recent events, such as launching the Mars 2020 Perseverance Rover and bringing home astronauts Bob Behnken and Doug Hurley safely from the International Space Station. This was accomplished during a pandemic and with a predicted hurricane bearing down on Central Florida. “I couldn’t be more proud of team,” he said. Also, Cabana stressed that the center is continuing to provide as safe a workplace as possible throughout the COVID-19 crisis.</t>
  </si>
  <si>
    <t>jO8kiJREX9Y</t>
  </si>
  <si>
    <t>2020 07 31</t>
  </si>
  <si>
    <t>https://youtu.be/pJjqKJyL4Ts</t>
  </si>
  <si>
    <t>Inside KSC! July 31, 2020</t>
  </si>
  <si>
    <t>A United Launch Alliance Atlas V 541 rocket powered NASA's Mars 2020 Perseverance rover off the pad at Cape Canaveral Air Force Station's Space Launch Complex 41, starting the spacecraft on its seven-month journey to the Red Planet.
Teams of employees at Kennedy Space Center banded together and overcame challenges of the COVID-19 pandemic to produce several live programs promoting the historic Mars 2020 mission.</t>
  </si>
  <si>
    <t>pJjqKJyL4Ts</t>
  </si>
  <si>
    <t>2020 07 30</t>
  </si>
  <si>
    <t>https://youtu.be/69rn7zBddPw</t>
  </si>
  <si>
    <t>Liftoff of NASA's Mars 2020 Perseverance Rover</t>
  </si>
  <si>
    <t>A United Launch Alliance Atlas V 541 rocket, carrying NASA's Mars Perseverance rover, lifts off from Space Launch Complex 41 at Cape Canaveral Air Force Station on July 30, 2020, at 7:50 a.m. EDT.</t>
  </si>
  <si>
    <t>69rn7zBddPw</t>
  </si>
  <si>
    <t>https://youtu.be/KKuYKc4x5xc</t>
  </si>
  <si>
    <t>Mars 2020 Poll for Launch</t>
  </si>
  <si>
    <t>Mars 2020 launch teams conduct their poll for launch, giving the final "go" just seconds before liftoff. The United Launch Alliance Atlas V 541 rocket, carrying the agency's Mars Perseverance rover, lifted off from Cape Canaveral Air Force Station's Space Launch Complex 41 in Florida at 7:50 a.m. EDT on July 30, 2020.</t>
  </si>
  <si>
    <t>KKuYKc4x5xc</t>
  </si>
  <si>
    <t>https://youtu.be/6EW1qev8FT4</t>
  </si>
  <si>
    <t>NASA's Mars 2020 Broadcast Begins</t>
  </si>
  <si>
    <t>The live broadcast begins for the launch of NASA's Mars 2020 Perseverance rover. The United Launch Alliance Atlas V 541 rocket lifted off from Cape Canaveral Air Force Station's Space Launch Complex 41 in Florida at 7:50 a.m. EDT on July 30, 2020.</t>
  </si>
  <si>
    <t>6EW1qev8FT4</t>
  </si>
  <si>
    <t>2020 07 28</t>
  </si>
  <si>
    <t>https://youtu.be/2zORTRedW_U</t>
  </si>
  <si>
    <t>Rocket Ranch Episode 23  Mars 2020  In the Midst of a Pandemic</t>
  </si>
  <si>
    <t>The launch team at NASA's Kennedy Space Center in Florida has persevered through a global pandemic to get a Mars rover named Perseverance to the launch pad on time. Learn more about the cloud of doubt the virus cast over the Mars 2020 mission and how NASA overcame it.</t>
  </si>
  <si>
    <t>2zORTRedW_U</t>
  </si>
  <si>
    <t>2020 07 24</t>
  </si>
  <si>
    <t>https://youtu.be/qV6ARkDnUsQ</t>
  </si>
  <si>
    <t>Inside KSC! July 24, 2020</t>
  </si>
  <si>
    <t>Anticipation is building as NASA's next mission to the Red Planet, Mars 2020, is ramping up for launch. The Perseverance rover is scheduled to lift off aboard a United Launch Alliance Atlas V rocket from Space Launch Complex 41 at Cape Canaveral Air Force Station on July 30, and reach Mars on February 18, 2021. NASA's Launch Services Program based at Kennedy Space Center is managing the launch. Solid rocket booster segments for the agency's Space Launch System rocket for Artemis I arrived at the center and were transported to the Rotation, Processing and Surge Facility. They were lifted up into position so that workers could begin the task of joining an aft booster segment to a left aft booster cone.</t>
  </si>
  <si>
    <t>qV6ARkDnUsQ</t>
  </si>
  <si>
    <t>2020 07 17</t>
  </si>
  <si>
    <t>https://youtu.be/Wn54fvNiSSM</t>
  </si>
  <si>
    <t>Inside KSC! for July 17, 2020</t>
  </si>
  <si>
    <t>This week, the Falcon 9 rocket that will launch three NASA astronauts and one JAXA (Japan Aerospace Exploration Agency) astronaut on the agency's SpaceX Crew-1 mission to the International Space Station arrived at nearby Cape Canaveral Air Force Station. This will be the first operational mission to the space station under NASA's Commercial Crew Program, following certification of SpaceX's crew transportation system. Also, this month marks the 45th anniversary of NASA's Apollo-Soyuz Test Project. The project was the first and only time spacecraft from two different countries achieved rendezvous, docking and undocking in space, paving the way for future joint experiments.</t>
  </si>
  <si>
    <t>Wn54fvNiSSM</t>
  </si>
  <si>
    <t>2020 07 10</t>
  </si>
  <si>
    <t>https://youtu.be/yl06ht6luXg</t>
  </si>
  <si>
    <t>Inside KSC! July 10, 2020</t>
  </si>
  <si>
    <t>This week, the payload fairing containing the Mars Perseverance rover was lifted up into the Vertical Integration Facility at Space Launch Complex 41 on Cape Canaveral Air Force Station. Then, it was lowered down and attached to the United Launch Alliance Atlas V rocket. The rover is scheduled to lift off aboard the Atlas V rocket on July 30, from Pad 41. Kennedy Space Center’s Honor Awards Ceremony recognized NASA and contractor individuals and teams who have made significant contributions to the NASA mission. Due to social distancing concerns, this year’s ceremony was prerecorded and was available for viewing by the workforce on KSC TV. Center Director Bob Cabana and senior staff were on hand to virtually congratulate this year’s awardees.</t>
  </si>
  <si>
    <t>yl06ht6luXg</t>
  </si>
  <si>
    <t>2020 07 02</t>
  </si>
  <si>
    <t>https://youtu.be/f60mhcptQr0</t>
  </si>
  <si>
    <t>Inside KSC! for July 2, 2020</t>
  </si>
  <si>
    <t>The solid rocket boosters that will launch NASA’s Space Launch System rocket and Orion spacecraft on Artemis I are beginning to come together at the agency's Kennedy Space Center in Florida. Also, Kennedy’s most prominent landmark - the Vehicle Assembly Building - is getting an updated look with a fresh coat of paint on its NASA logo and American flag.</t>
  </si>
  <si>
    <t>f60mhcptQr0</t>
  </si>
  <si>
    <t>2020 06 30</t>
  </si>
  <si>
    <t>https://youtu.be/v7oYIecYAeo</t>
  </si>
  <si>
    <t>2020 Director's Update - Kennedy Space Center</t>
  </si>
  <si>
    <t>This video was shown during Kennedy Space Center Director Bob Cabana's update to community leaders and stakeholders on Feb. 18, 2020 at the Kennedy Space Center Visitor Complex. The presentation included a recap of accomplishments and future plans for Kennedy-led programs including Commercial Crew Program, Launch Services Program, Exploration Ground Systems, Exploration Research and Technology and Center Planning and Development.
Music Courtesy of Gothic Storm Music</t>
  </si>
  <si>
    <t>v7oYIecYAeo</t>
  </si>
  <si>
    <t>2020 06 26</t>
  </si>
  <si>
    <t>https://youtu.be/lMHqnOVH55M</t>
  </si>
  <si>
    <t>Inside KSC! for June 26, 2020</t>
  </si>
  <si>
    <t>The Orion crew module and its adapter are undergoing key testing and maintenance for NASA's first crewed Artemis mission at the agency's Kennedy Space Center in Florida. Also, the United Launch Alliance Atlas V rocket underwent a wet dress rehearsal at Cape Canaveral Air Force Station’s Space Launch Complex 41, in preparation for launch of NASA’s Mars 2020 mission. Finally, Kennedy Director Bob Cabana, along with the center’s executive leadership team, came together to address vital issues affecting our communities.</t>
  </si>
  <si>
    <t>lMHqnOVH55M</t>
  </si>
  <si>
    <t>2020 06 19</t>
  </si>
  <si>
    <t>https://youtu.be/qUHlj1Dkw68</t>
  </si>
  <si>
    <t>Inside KSC! for June 19, 2020</t>
  </si>
  <si>
    <t>This week, preparations for NASA and United Launch Alliance's (ULA) Mars 2020 mission continued. Technicians with ULA used ground-handling equipment to connect the payload fairing, which will protect the spacecraft during ascent through Earth's atmosphere when the mission launches.  Liftoff is scheduled for July 20, 2020, from Space Launch Complex 41 at Cape Canaveral Air Force Station. Also, twin boosters for NASA's Space Launch System rocket arrived at Kennedy, where they will undergo processing ahead of stacking on the mobile launcher in preparation for the Artemis I launch.</t>
  </si>
  <si>
    <t>qUHlj1Dkw68</t>
  </si>
  <si>
    <t>2020 06 08</t>
  </si>
  <si>
    <t>https://youtu.be/LO2Xd-kZOyg</t>
  </si>
  <si>
    <t>Safety and Mission Assurance Risk-Based Decision Making</t>
  </si>
  <si>
    <t>Safety and Mission Assurance (SA) is producing a series of videos demonstrating how we use risk informed decision making as part of our “Yes, if” strategy. The first video demonstrates SA’s risk strategy applied to Pressure Vessel Systems (PVS) operations for the launch environment.</t>
  </si>
  <si>
    <t>LO2Xd-kZOyg</t>
  </si>
  <si>
    <t>2020 06 05</t>
  </si>
  <si>
    <t>https://youtu.be/pHq3zbzpl2w</t>
  </si>
  <si>
    <t>Inside KSC! for June 5, 2020</t>
  </si>
  <si>
    <t>Robert Behnken and Douglas Hurley arrived at the International Space Station after launching from Kennedy Space Center in Florida. The two NASA astronauts lifted off aboard SpaceX's Crew Dragon capsule, powered by a Falcon 9 rocket, as part of the agency's SpaceX Demo-2 mission. Also, activities continue at Kennedy in preparation for launch of NASA's Mars Perseverance Rover next month.</t>
  </si>
  <si>
    <t>pHq3zbzpl2w</t>
  </si>
  <si>
    <t>2020 05 30</t>
  </si>
  <si>
    <t>https://youtu.be/I7P2VJj3UqM</t>
  </si>
  <si>
    <t>Crew Dragon Separates from SpaceX Falcon 9 Rocket, Sets Course for International Space Station</t>
  </si>
  <si>
    <t>The SpaceX Crew Dragon, with astronauts Douglas Hurley and Robert Behnken on board, has separated from the Falcon 9 rocket after launching at 3:22 p.m. EDT on May 30, 2020 from Launch Complex 39A at NASA’s Kennedy Space Center in Florida. After Crew Dragon separates from the second stage, a series of phasing maneuvers will be performed for the spacecraft to gradually approach and autonomously dock with the space station on Sunday, May 31, at approximately 10:29 a.m. EDT. This marks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t>
  </si>
  <si>
    <t>I7P2VJj3UqM</t>
  </si>
  <si>
    <t>https://youtu.be/xhrJzj0Y7C8</t>
  </si>
  <si>
    <t>Launch America! SpaceX Falcon 9 with Crew Dragon Lifts Off on Demo-2 Mission to Space Station</t>
  </si>
  <si>
    <t>The SpaceX Falcon 9 rocket with the Crew Dragon lifts off at 3:22 p.m. EDT on May 30, 2020, from Launch Complex 39A at NASA’s Kennedy Space Center in Florida, carrying astronauts Douglas Hurley and Robert Behnken on the Demo-2 mission to the International Space Station. This marks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t>
  </si>
  <si>
    <t>xhrJzj0Y7C8</t>
  </si>
  <si>
    <t>https://youtu.be/GmhXNvzzJLw</t>
  </si>
  <si>
    <t>Demo-2 Crew Members Suit Up for Flight to International Space Station</t>
  </si>
  <si>
    <t>Astronauts Douglas Hurley and Robert Behnken don their spacesuits inside the Neil A. Armstrong Operations and Checkout Building at NASA’s Kennedy Space Center in Florida on May 30, 2020, for the second launch attempt. The first attempt, on May 27, was scrubbed due to unfavorable weather. They will exit the facility and be transported to Launch Complex 39A where they will board the SpaceX Crew Dragon for the Demo-2 mission to the International Space Station. Launch atop the SpaceX Falcon 9 rocket is scheduled for today at 3:22 p.m. EDT. This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t>
  </si>
  <si>
    <t>GmhXNvzzJLw</t>
  </si>
  <si>
    <t>https://youtu.be/4ZOIYEuf5F4</t>
  </si>
  <si>
    <t>NASA’s SpaceX Demo-2 Astronauts Board Crew Dragon for Flight to Space Station</t>
  </si>
  <si>
    <t>Astronauts Douglas Hurley and Robert Behnken board the SpaceX Crew Dragon spacecraft at Launch Complex 39A at NASA’s Kennedy Space Center in Florida in preparation for launch on the Demo-2 mission to the International Space Station. Launch atop the SpaceX Falcon 9 rocket is scheduled for today, May 30, 2020, at 3:22 p.m. EDT. Demo-2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 NASA and SpaceX scrubbed the launch attempt on May 27, due to unfavorable weather.</t>
  </si>
  <si>
    <t>4ZOIYEuf5F4</t>
  </si>
  <si>
    <t>https://youtu.be/uBbxyRtiW2s</t>
  </si>
  <si>
    <t>NASA’s SpaceX Demo-2 Astronauts Depart from Crew Quarters at Kennedy Space Center</t>
  </si>
  <si>
    <t>Astronauts Douglas Hurley and Robert Behnken walk down the hallway and exit the Neil A. Armstrong Operations and Checkout Building at NASA’s Kennedy Space Center in Florida on May 30, 2020. They will be transported to Launch Complex 39A aboard a Tesla Model X where they will board the SpaceX Crew Dragon for the Demo-2 mission to the International Space Station. Launch atop the SpaceX Falcon 9 rocket is scheduled for today at 3:22 p.m. EDT. This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t>
  </si>
  <si>
    <t>uBbxyRtiW2s</t>
  </si>
  <si>
    <t>2020 05 29</t>
  </si>
  <si>
    <t>https://youtu.be/B0bwKZb6YI0</t>
  </si>
  <si>
    <t>Inside KSC! for May 29, 2020</t>
  </si>
  <si>
    <t>NASA and SpaceX’s initial launch attempt of the Demo-2 mission that will send NASA astronauts Robert Behnken and Douglas Hurley to the International Space Station was scrubbed on May 27 due to unfavorable weather conditions in the area. The next launch opportunity will be Saturday, May 30, at 3:22 p.m. EDT. The SpaceX Falcon 9 rocket and Crew Dragon spacecraft will lift off from Kennedy Space Center’s historic Launch Complex 39A, returning human spaceflight capability to the U.S. after nearly a decade. This will be SpaceX’s final flight test under the agency’s Commercial Crew Program.</t>
  </si>
  <si>
    <t>B0bwKZb6YI0</t>
  </si>
  <si>
    <t>2020 05 27</t>
  </si>
  <si>
    <t>https://youtu.be/VLQ2ypFWp2M</t>
  </si>
  <si>
    <t>NASA Administrator Makes Statement After Scrub of SpaceX Demo-2 Launch</t>
  </si>
  <si>
    <t>NASA Administrator Jim Bridenstine makes a statement after the scrub of NASA's SpaceX Demo-2 launch on the Falcon 9 rocket today, May 27, 2020, at the agency's Kennedy Space Center in Florida. NASA and SpaceX  scrubbed today's launch attempt of the Demo-2 test flight to the International Space Station due to unfavorable weather. Astronauts Douglas Hurley and Robert Behnken have egressed from the SpaceX Crew Dragon. The next launch attempt will be at 3:22 p.m. EDT on Saturday, May 30.</t>
  </si>
  <si>
    <t>VLQ2ypFWp2M</t>
  </si>
  <si>
    <t>https://youtu.be/_nhemzJVFSw</t>
  </si>
  <si>
    <t>SpaceX Demo-2  Launch Rescheduled for May 30 Because of Bad Weather</t>
  </si>
  <si>
    <t>NASA and SpaceX have scrubbed today’s launch attempt, May 27, of the Demo-2 test flight to the International Space Station with astronauts Robert Behnken and Douglas Hurley due to unfavorable weather conditions around Launch Complex 39A at NASA’s Kennedy Space Center in Florida. SpaceX will begin removing propellant from the Falcon 9 rocket and then the astronauts will exit the Crew Dragon spacecraft. Launch coverage will continue until the crew has left the pad for Astronaut Crew Quarters. Our next launch attempt will be at 3:22 p.m. EDT on Saturday, May 30, from Launch Complex 39A at NASA’s Kennedy Space Center in Florida. Launch coverage will begin at 11 a.m. on NASA Television and the agency’s website at http://www.nasa.gov/live.</t>
  </si>
  <si>
    <t>_nhemzJVFSw</t>
  </si>
  <si>
    <t>https://youtu.be/lV1ShI5eZBI</t>
  </si>
  <si>
    <t>Astronauts Douglas Hurley and Robert Behnken board the SpaceX Crew Dragon spacecraft at Launch Complex 39A at NASA’s Kennedy Space Center in Florida in preparation for launch on the Demo-2 mission to the International Space Station. Launch atop the SpaceX Falcon 9 rocket was scheduled for today, May 27, 2020. Demo-2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 NOTE: NASA and SpaceX have scrubbed today's launch attempt of the Demo-2 test flight to the space station due to unfavorable weather. The next launch attempt will be at 3:22 p.m. EDT on Saturday, May 30.</t>
  </si>
  <si>
    <t>lV1ShI5eZBI</t>
  </si>
  <si>
    <t>https://youtu.be/GDyteaqYCzY</t>
  </si>
  <si>
    <t>Crew Access Arm Retracted for Demo-2 at Launch Complex 39A</t>
  </si>
  <si>
    <t>The crew access arm is retracted from the SpaceX Crew Dragon at Launch Complex 39A at Kennedy Space Center in Florida on May 27, 2020. Secured inside the Dragon are astronauts Douglas Hurley and Robert Behnken for NASA's SpaceX Demo-2 mission to the International Space Station. Demo-2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 NASA and SpaceX have scrubbed today's launch attempt of the Demo-2 test flight to the space station. The next launch attempt will be at 3:22 p.m. EDT on Saturday, May 30.</t>
  </si>
  <si>
    <t>GDyteaqYCzY</t>
  </si>
  <si>
    <t>https://youtu.be/nI1pkHEXj3w</t>
  </si>
  <si>
    <t>NASA’s SpaceX Demo-2 Crew Members Suit Up for Flight to International Space Station</t>
  </si>
  <si>
    <t>Astronauts Douglas Hurley and Robert Behnken don their spacesuits inside the Neil A. Armstrong Operations and Checkout Building at NASA’s Kennedy Space Center in Florida on May 27, 2020. They will exit the facility and be transported to Launch Complex 39A where they will board the SpaceX Crew Dragon for the Demo-2 mission to the International Space Station. Launch atop the SpaceX Falcon 9 rocket is scheduled for today at 4:33 p.m. EDT. This will mark the first launch of astronauts from U.S. soil since the conclusion of the Space Shuttle Program in 2011. Part of the agency’s Commercial Crew Program, this will be SpaceX’s final flight test, paving the way for NASA to certify the crew transportation system for regular, crewed flights to the orbiting laboratory.</t>
  </si>
  <si>
    <t>nI1pkHEXj3w</t>
  </si>
  <si>
    <t>2020 05 22</t>
  </si>
  <si>
    <t>https://youtu.be/tSu6XI6HGrs</t>
  </si>
  <si>
    <t>Inside KSC! for May 22, 2020</t>
  </si>
  <si>
    <t>Astronauts Robert Behnken and Douglas Hurley are at NASA’s Kennedy Space Center in Florida to make final preparations for their historic Demo-2 flight. Also, the booster for NASA’s Mars Perseverance rover arrived this week at Cape Canaveral Air Force Station’s Skid Strip and was offloaded and taken to the United Launch Alliance facility. Finally, see how some Kennedy employees are getting the job done from home.</t>
  </si>
  <si>
    <t>tSu6XI6HGrs</t>
  </si>
  <si>
    <t>2020 05 15</t>
  </si>
  <si>
    <t>https://youtu.be/SiMgnT36504</t>
  </si>
  <si>
    <t>Rocket Ranch #22  NASA Astronauts’ Friendship Key To History Making SpaceX Flight</t>
  </si>
  <si>
    <t>Under NASA's Commercial Crew Program, astronauts Robert Behnken and Douglas Hurley will make history when they launch from Kennedy Space Center in a SpaceX Crew Dragon capsule that's never before been flown by humans. Find out how their strong bond of friendship will give them an advantage in space on this episode of the Rocket Ranch.</t>
  </si>
  <si>
    <t>SiMgnT36504</t>
  </si>
  <si>
    <t>https://youtu.be/4xQx1aXvK98</t>
  </si>
  <si>
    <t>Inside KSC! for May 15, 2020</t>
  </si>
  <si>
    <t>NASA's Mars Perseverance rover received its aeroshell backshell, and the rover was attached to its rocket-powered descent stage. The rover is scheduled to lift off aboard a United Launch Alliance Atlas V 541 rocket in mid-July from Cape Canaveral Air Force Station. Painting of the NASA logo, also called the meatball, is underway on the 525-foot-tall Vehicle Assembly Building (VAB). Exploration Ground Systems is overseeing upgrades to the VAB to support the launch of the agency's Space Launch System and Orion for Artemis missions. And see how some of your coworkers are getting the job done while teleworking from home.</t>
  </si>
  <si>
    <t>4xQx1aXvK98</t>
  </si>
  <si>
    <t>2020 05 14</t>
  </si>
  <si>
    <t>https://youtu.be/kJDwlC2PrAw</t>
  </si>
  <si>
    <t>Orion Recovery Team</t>
  </si>
  <si>
    <t>The Landing and Recovery Team led by the Exploration Ground Systems Program from Kennedy Space Center in Florida will be responsible for safely recovering the Orion capsule, and crew on future Artemis missions, after splashdown and returning them both to land. The interagency landing and recovery team consists of personnel and assets from the U.S. Department of Defense, including Navy amphibious specialists and Air Force weather specialists, and engineers and technicians from Kennedy, Johnson Space Center in Houston, and Lockheed Martin Space Operations. The team will recover Orion and attempt to recover hardware jettisoned during landing, such as the forward bay cover and the three main parachutes.</t>
  </si>
  <si>
    <t>kJDwlC2PrAw</t>
  </si>
  <si>
    <t>2020 05 11</t>
  </si>
  <si>
    <t>https://youtu.be/EdumTVtWLCI</t>
  </si>
  <si>
    <t>Pad 39B is Ready for Artemis I</t>
  </si>
  <si>
    <t>Exploration Ground Systems is preparing Launch Pad 39B at NASA’s Kennedy Space Center in Florida to support the agency’s Artemis missions. The pad is ready for the first mission, Artemis I, which will send an uncrewed Orion spacecraft, launched atop the Space Launch System (SLS) rocket, beyond the Moon and back to Earth.</t>
  </si>
  <si>
    <t>EdumTVtWLCI</t>
  </si>
  <si>
    <t>2020 05 08</t>
  </si>
  <si>
    <t>https://youtu.be/oeJcFqyDYX0</t>
  </si>
  <si>
    <t>Inside KSC! for May 8, 2020</t>
  </si>
  <si>
    <t>NASA and SpaceX held a series of virtual meetings on May 1 to discuss the upcoming Demo-2 mission to the International Space Station under the agency’s Commercial Crew Program. This mission will mark the first launch of astronauts from American soil since 2011. Liftoff of the SpaceX Falcon 9 rocket and Crew Dragon spacecraft is scheduled for May 27 at 4:32 p.m. Eastern. Also, NASA announced its selection of three U.S. companies to help design and build a human landing system for Artemis missions to the Moon. And, as many Kennedy employees continue to work from home, they’re asked to share photos of what their “home office” looks like.</t>
  </si>
  <si>
    <t>oeJcFqyDYX0</t>
  </si>
  <si>
    <t>2020 05 01</t>
  </si>
  <si>
    <t>https://youtu.be/-vxqjD1e_8s</t>
  </si>
  <si>
    <t>Inside KSC! for May 1, 2020</t>
  </si>
  <si>
    <t>Jacksonville Jaguars quarterback Joshua Dobbs took a few weeks away from football to complete an internship as an aerospace engineer at Kennedy Space Center. Also, NASA’s Hubble Space Telescope celebrated three decades in service in April. And finally, check out how some of Kennedy's employees continue to get the job done through telework.</t>
  </si>
  <si>
    <t>-vxqjD1e_8s</t>
  </si>
  <si>
    <t>2020 04 24</t>
  </si>
  <si>
    <t>https://youtu.be/u9mHc0_M3ug</t>
  </si>
  <si>
    <t>Why an NFL Quarterback Interned at NASA</t>
  </si>
  <si>
    <t>What do NFL quarterbacks do in the offseason? Well, Jacksonville Jaguars quarterback Joshua Dobbs spent part of his time away from the football field at NASA's Kennedy Space Center in Florida. Dobbs, who played his college football for the University of Tennessee Volunteers before being drafted by the Pittsburgh Steelers, recently completed an internship as an aerospace engineer at Kennedy.</t>
  </si>
  <si>
    <t>u9mHc0_M3ug</t>
  </si>
  <si>
    <t>https://youtu.be/2jmAbg13xDw</t>
  </si>
  <si>
    <t>Inside KSC! for April 24, 2020</t>
  </si>
  <si>
    <t>NASA and SpaceX have selected May 27, 2020, as the launch date for the Demo-2 mission that will send astronauts to the International Space Station under the agency's Commercial Crew Program. This will mark the first time Americans have launched to space from Kennedy Space Center since 2011. Also, NASA's Mars Perseverance rover underwent mass properties testing, which determined its center of gravity. This will help ensure the rover lands as predicted on the Red Planet. And, while the majority of Kennedy's workforce continues to work from home, they are encouraged to send in photos of what working in their "home office" looks like.</t>
  </si>
  <si>
    <t>2jmAbg13xDw</t>
  </si>
  <si>
    <t>2020 04 22</t>
  </si>
  <si>
    <t>https://youtu.be/1H6wHAMv1QU</t>
  </si>
  <si>
    <t>#NASAatHome Spaceport Series Episode 7  NASA's Kennedy Space Center; where technology meets nature</t>
  </si>
  <si>
    <t>In this special episode of our Spaceport Series, we celebrate Earth Day and show you some of the 1,200 plant and wildlife species that call Kennedy Space Center home.</t>
  </si>
  <si>
    <t>1H6wHAMv1QU</t>
  </si>
  <si>
    <t>2020 04 10</t>
  </si>
  <si>
    <t>https://youtu.be/f3LVpey6bOQ</t>
  </si>
  <si>
    <t>Inside KSC! for April 10, 2020</t>
  </si>
  <si>
    <t>NASA's Mars 2020 rover, Perseverance, gets a parachute and a set of wheels in preparation for its upcoming launch to the Red Planet. Also, the new "NASA at Home: Spaceport Series" debuts on Kennedy Space Center's YouTube channel at www.youtube.com/nasakennedy.</t>
  </si>
  <si>
    <t>f3LVpey6bOQ</t>
  </si>
  <si>
    <t>https://youtu.be/A06wDNxB9QI</t>
  </si>
  <si>
    <t>Gateway Lunar Outpost Animation</t>
  </si>
  <si>
    <t>A06wDNxB9QI</t>
  </si>
  <si>
    <t>https://youtu.be/IF6kz6YXvE0</t>
  </si>
  <si>
    <t>Video Announcement  Gateway Logistics Services Announcement for SpaceX</t>
  </si>
  <si>
    <t>IF6kz6YXvE0</t>
  </si>
  <si>
    <t>2020 04 03</t>
  </si>
  <si>
    <t>https://youtu.be/lg-KOKplLl4</t>
  </si>
  <si>
    <t>Inside KSC! for April 3, 2020</t>
  </si>
  <si>
    <t>NASA’s Orion spacecraft for Artemis I returned to Kennedy Space Center from the agency’s Plum Brook Station in Ohio. Also, NASA selected SpaceX as the first U.S. commercial provider under the Gateway Logistics Services contract.</t>
  </si>
  <si>
    <t>lg-KOKplLl4</t>
  </si>
  <si>
    <t>2020 03 18</t>
  </si>
  <si>
    <t>https://youtu.be/iqLArDYe7hw</t>
  </si>
  <si>
    <t>Kennedy Puts Priority on Workforce Safety</t>
  </si>
  <si>
    <t>Janet Petro, deputy director at NASA's Kennedy Space Center in Florida, provides an update on Kennedy's response efforts to the COVID-19 pandemic.</t>
  </si>
  <si>
    <t>iqLArDYe7hw</t>
  </si>
  <si>
    <t>2020 03 13</t>
  </si>
  <si>
    <t>https://youtu.be/RLGy7CCFnik</t>
  </si>
  <si>
    <t>Inside KSC! for March 13, 2020</t>
  </si>
  <si>
    <t>A SpaceX cargo Dragon spacecraft arrived at the International Space Station following a successful launch on March 6, 2020, for the company's 20th Commercial Services mission. Carrying more than 4,300 pounds of supplies and science investigations, the spacecraft will remain at the station until April 9, when it will return to Earth with research and cargo. Also, the United States Naval Academy Glee Club visited the Kennedy Space Center, performing for Kennedy employees as well as visitors.</t>
  </si>
  <si>
    <t>RLGy7CCFnik</t>
  </si>
  <si>
    <t>2020 03 07</t>
  </si>
  <si>
    <t>https://youtu.be/kl2tGznF4j4</t>
  </si>
  <si>
    <t>SpaceX CRS-20  Dragon Spacecraft Separation</t>
  </si>
  <si>
    <t>The SpaceX cargo Dragon spacecraft separates from the Falcon 9 rocket as the company's 20th Commercial Resupply Services mission to the International Space Station begins. Liftoff took place at 11:50 p.m. EST on Friday, March 6, 2020, from Launch Complex 40 at Florida’s Cape Canaveral Air Force Station.</t>
  </si>
  <si>
    <t>kl2tGznF4j4</t>
  </si>
  <si>
    <t>https://youtu.be/8CluuelCu3E</t>
  </si>
  <si>
    <t>SpaceX CRS-20  Liftoff</t>
  </si>
  <si>
    <t>A SpaceX Falcon 9 rocket and cargo Dragon spacecraft launch on the company's 20th Commercial Resupply Services mission to the International Space Station. Liftoff took place at 11:50 p.m. EST on Friday, March 6, 2020, from Launch Complex 40 at Florida’s Cape Canaveral Air Force Station.</t>
  </si>
  <si>
    <t>8CluuelCu3E</t>
  </si>
  <si>
    <t>https://youtu.be/2OGxrvxoh8E</t>
  </si>
  <si>
    <t>SpaceX CRS-20  Launch Broadcast Begins</t>
  </si>
  <si>
    <t>The live broadcast begins for the countdown and liftoff of SpaceX’s 20th Commercial Resupply Services mission to the International Space Station. The company's Falcon 9 rocket and cargo Dragon spacecraft lifted off at 11:50 p.m. EST on Friday, March 6, 2020, from Launch Complex 40 at Florida’s Cape Canaveral Air Force Station.</t>
  </si>
  <si>
    <t>2OGxrvxoh8E</t>
  </si>
  <si>
    <t>2020 03 06</t>
  </si>
  <si>
    <t>https://youtu.be/ZOUjIL7Seks</t>
  </si>
  <si>
    <t>Inside KSC! for March 6, 2020</t>
  </si>
  <si>
    <t>NASA and SpaceX are preparing for the 20th Commercial Resupply Services mission to the International Space Station. The SpaceX Falcon 9 rocket and cargo Dragon spacecraft are scheduled to launch from Cape Canaveral Air Force Station's Space Launch Complex 40 on March 6, 2020. Liftoff is targeted for 11:50 p.m. EST. Also, Kennedy Space Center employees attended a variety of presentations and events during the center's annual Safety and Health Days.</t>
  </si>
  <si>
    <t>ZOUjIL7Seks</t>
  </si>
  <si>
    <t>2020 02 28</t>
  </si>
  <si>
    <t>https://youtu.be/QM-AocQlaq8</t>
  </si>
  <si>
    <t>Inside KSC! for Feb. 28, 2020</t>
  </si>
  <si>
    <t>Community leaders, business executives, partners, educators and government representatives gathered at the Kennedy Space Center Visitor Complex on Feb. 18 for an update on Kennedy Space Center's accomplishments and what's ahead for this year. Center Director Bob Cabana served as moderator of a panel discussion with senior leaders of NASA programs based at the center. And the Kennedy workforce was saddened to hear of the passing of Katherine Johnson on Feb. 24. Johnson's life and work for NASA was one of those depicted in the big-screen film "Hidden Figures."</t>
  </si>
  <si>
    <t>QM-AocQlaq8</t>
  </si>
  <si>
    <t>2020 02 27</t>
  </si>
  <si>
    <t>https://youtu.be/e4YdMqsr3K0</t>
  </si>
  <si>
    <t>Rocket Ranch Episode 20  Space Explorer</t>
  </si>
  <si>
    <t>Is Pluto really a planet? Listen to this episode of the Rocket Ranch to find out!</t>
  </si>
  <si>
    <t>e4YdMqsr3K0</t>
  </si>
  <si>
    <t>2020 02 21</t>
  </si>
  <si>
    <t>https://youtu.be/jArVx75gjos</t>
  </si>
  <si>
    <t>Inside KSC! for Feb. 21, 2020</t>
  </si>
  <si>
    <t>NASA's Mars 2020 rover has arrived at Kennedy Space Center, where it's being readied for its upcoming launch aboard a United Launch Alliance Atlas V 541 rocket. Also, Kennedy employees celebrated Black History Month on Feb. 18 with special guest speaker James Jennings, former NASA associate administrator for Institutions and Management and the former deputy director of the Florida spaceport.</t>
  </si>
  <si>
    <t>jArVx75gjos</t>
  </si>
  <si>
    <t>2020 02 20</t>
  </si>
  <si>
    <t>https://youtu.be/tgZOWZHF8T8</t>
  </si>
  <si>
    <t>OSCAR  NASA is developing tech for recycling in space</t>
  </si>
  <si>
    <t>The Orbital Syngas Commodity Augmentation Reactor, or OSCAR, is an Early Career Initiative project funded by NASA’s Space Technology Mission Directorate in 2018. Work on OSCAR has demonstrated new ways to manage trash and waste in space by offering new options for safe disposal and the potential to transforming it into useful resources.  
OSCAR has a reactor that uses heat, oxygen and steam to turn things like food packaging, old clothing and even human waste into water and a gas mixture. Industry calls this mixture synthetic gas or syngas, and it is primarily carbon dioxide with small amounts of hydrogen, carbon monoxide, and methane. Molecules from syngas can be used as building blocks for beneficial products like fuel for the spacecraft. The crew can also vent these gases for easy trash disposal.
On Dec. 11, 2019, OSCAR reached a major milestone when it launched on a Blue Origin New Shepard rocket. This suborbital flight added around three minutes of valuable microgravity performance data to OSCAR’s previous data from lab and drop tests. During the flight, OSCAR was able to autonomously inject trash into the high temperature reaction chamber and collect targeted product gases.
To learn more about NASA's investments in space technology, visit:
https://www.nasa.gov/spacetech
To learn more about NASA's Kennedy Space Center, visit:
https://www.nasa.gov/centers/kennedy/home
To learn more about NASA's Flight Opportunities program, visit:
https://www.nasa.gov/directorates/spacetech/flightopportunities</t>
  </si>
  <si>
    <t>tgZOWZHF8T8</t>
  </si>
  <si>
    <t>2020 02 19</t>
  </si>
  <si>
    <t>https://youtu.be/nJsvGZvf7D0</t>
  </si>
  <si>
    <t>Artemis at Kennedy Space Center</t>
  </si>
  <si>
    <t>Kennedy Space Center is central to NASA’s Artemis program—NASA’s path to the Moon and the next step in human exploration.</t>
  </si>
  <si>
    <t>nJsvGZvf7D0</t>
  </si>
  <si>
    <t>2020 02 14</t>
  </si>
  <si>
    <t>https://youtu.be/DRWpwM7yIJk</t>
  </si>
  <si>
    <t>Inside KSC! for Feb. 14, 2020</t>
  </si>
  <si>
    <t>Solar Orbiter has officially begun its seven-year mission to study the Sun. The spacecraft launched aboard a United Launch Atlas V rocket from Space Launch Complex 41 at Cape Canaveral Air Force Station on Feb. 9 at 11:03 p.m. 
Also, NASA Kennedy Space Center Director Bob Cabana discussed accomplishments and looked ahead to the agency's bright future during an employee event held at the Florida spaceport.</t>
  </si>
  <si>
    <t>DRWpwM7yIJk</t>
  </si>
  <si>
    <t>2020 02 10</t>
  </si>
  <si>
    <t>https://youtu.be/yKrIo54T1oY</t>
  </si>
  <si>
    <t>Interview with Solar Orbiter Program Manager Cesar Garcia</t>
  </si>
  <si>
    <t>Solar Orbiter Program Manager Cesar Garcia discusses the launch and talks about what is next for the spacecraft.</t>
  </si>
  <si>
    <t>yKrIo54T1oY</t>
  </si>
  <si>
    <t>https://youtu.be/wB1bB3EuJok</t>
  </si>
  <si>
    <t>Post Solar Orbiter Launch Interview with Tim Dunn</t>
  </si>
  <si>
    <t>Joshua Santora, NASA Communications, talks with NASA Launch Manager Tim Dunn after the successful launch of the Solar Orbiter Sunday evening from Space Launch Complex 41 at Cape Canaveral Air Force Station.</t>
  </si>
  <si>
    <t>wB1bB3EuJok</t>
  </si>
  <si>
    <t>https://youtu.be/oJSGoWPZVO4</t>
  </si>
  <si>
    <t>Solar Orbiter Lifts Off!</t>
  </si>
  <si>
    <t>A United Launch Alliance Atlas V rocket, carrying Solar Orbiter, lights up the sky as it lifts off from Space Launch Complex 41 at Cape Canaveral Air Force Station in Florida.</t>
  </si>
  <si>
    <t>oJSGoWPZVO4</t>
  </si>
  <si>
    <t>https://youtu.be/GBNYMBsGcsM</t>
  </si>
  <si>
    <t>Solar Orbiter Status Poll</t>
  </si>
  <si>
    <t>Status checks to proceed with terminal count are a "go" and everything is on schedule for Solar Orbiter's 11:03 p.m. EST launch from Cape Canaveral Air Force Station.</t>
  </si>
  <si>
    <t>GBNYMBsGcsM</t>
  </si>
  <si>
    <t>https://youtu.be/us2dgwB_hVI</t>
  </si>
  <si>
    <t>Solar Orbiter Broadcast Show Open</t>
  </si>
  <si>
    <t>A look at the opening coverage of the Solar Orbiter Mission, which will lift off from Space Launch Complex 41 at Cape Canaveral Air Force Station in Florida.</t>
  </si>
  <si>
    <t>us2dgwB_hVI</t>
  </si>
  <si>
    <t>2020 02 09</t>
  </si>
  <si>
    <t>https://youtu.be/eRBHqyMZZz0</t>
  </si>
  <si>
    <t>NASA ready to send more plants and a new way to handle seeds to the International Space Station</t>
  </si>
  <si>
    <t>Sending people to the Moon and Mars requires understanding how to provide nutrition for astronauts who may be away from Earth for extended periods of time. One solution is growing food in space, which can be challenging. To learn more, scientists will send three types of leafy greens and a new way to handle seeds in space to the International Space Station.
Launching from NASA’s Wallops Flight Facility in Virginia on Northrop Grumman’s 13th cargo resupply mission, the VEG-03 series of experiments will send a new crop, amara mustard, to the orbiting laboratory. Red romaine lettuce and ‘extra dwarf’ pak choi – which astronauts have grown and eaten in space – also will return to the station.
Researchers at NASA’s Kennedy Space Center in Florida planted the pak choi and amara seeds in containers called plant pillows, but for red romaine lettuce, they inserted the seeds into a new type of seed-handling material called seed film. This water-soluble, dissolving film is the same material as a breath freshener strip. It will allow the crew to plant the seeds into pillows themselves, something that has never been done in orbit before. This could allow astronauts to pick and choose what crops they want to grow from a collection of seeds on the space station.
For more information about the Space Station:
https://www.nasa.gov/mission_pages/station/main/index.html
For more information about NASA’s Wallops Flight Facility
https://www.nasa.gov/centers/wallops/home
For more information about NASA’s Kennedy Space Center
https://www.nasa.gov/centers/kennedy/home/index.html</t>
  </si>
  <si>
    <t>eRBHqyMZZz0</t>
  </si>
  <si>
    <t>2020 02 07</t>
  </si>
  <si>
    <t>https://youtu.be/V-necEn5W_Y</t>
  </si>
  <si>
    <t>Inside KSC! for Feb. 7, 2020</t>
  </si>
  <si>
    <t>Under the leadership of NASA's first female Launch Director Charlie Blackwell-Thompson, a team of nearly 100 engineers came together to rehearse various countdown simulations for the launch of Artemis I, familiarizing them with launch day operations. Also, Gateway Logistics Element Manager Mark Wiese attended the AirCargo 2020 conference in Nashville, presenting an overview of the Artemis program and the agency's plan for a commercial supply chain to the Gateway.</t>
  </si>
  <si>
    <t>V-necEn5W_Y</t>
  </si>
  <si>
    <t>2020 02 05</t>
  </si>
  <si>
    <t>https://youtu.be/H1yhoVMBQFQ</t>
  </si>
  <si>
    <t>Rocket Ranch Episode 19  Launching Artemis</t>
  </si>
  <si>
    <t>Sometimes, history inspires us. Sometimes, we find ourselves in the middle of history being made. Now, we are in the middle of the most aggressive push for the Moon since we landed there for the first time 50 years ago. Learn more from a conversation we had last year with NASA's first female Launch Director, Charlie Blackwell-Thompson.</t>
  </si>
  <si>
    <t>H1yhoVMBQFQ</t>
  </si>
  <si>
    <t>2020 01 31</t>
  </si>
  <si>
    <t>https://youtu.be/PCkAe6KKG6I</t>
  </si>
  <si>
    <t>Inside KSC! for Jan. 31, 2020</t>
  </si>
  <si>
    <t>The Solar Orbiter spacecraft was encapsulated inside the Astrotech Space Operations payload processing facility near Kennedy Space Center. The spacecraft is being prepared for launch in February, from Space Launch Complex 41 at Cape Canaveral Air Force Station. Plant pillows and a new seed handling material similar to breath freshener strips containing the seeds for three types of leafy greens, were packed inside Kennedy’s Space Station Processing Facility. Researchers assembled the supplies for a series of VEG-03 experiments that will be delivered to the International Space Station aboard Northrop Grumman's Cygnus spacecraft on Commercial Resupply Services Mission NG-13 in February.</t>
  </si>
  <si>
    <t>PCkAe6KKG6I</t>
  </si>
  <si>
    <t>2020 01 27</t>
  </si>
  <si>
    <t>https://youtu.be/WrX0287xk10</t>
  </si>
  <si>
    <t>NASA Commercial Crew  Returning Human Spaceflight to America</t>
  </si>
  <si>
    <t>NASA and Commercial Crew Program partners Boeing and SpaceX are preparing to launch astronauts from Florida's Space Coast.
“Music Courtesy of Gothic Storm Music”</t>
  </si>
  <si>
    <t>WrX0287xk10</t>
  </si>
  <si>
    <t>2020 01 24</t>
  </si>
  <si>
    <t>https://youtu.be/QkVRsbPhx_8</t>
  </si>
  <si>
    <t>Inside KSC! for Jan. 24, 2020</t>
  </si>
  <si>
    <t>NASA and SpaceX successfully demonstrated the launch-escape capabilities of the company's Crew Dragon spacecraft during an In-Flight Abort Test on January 19, 2020. The Falcon 9 rocket, with the Crew Dragon, lifted off from Kennedy Space Center's Launch Pad 39A. The test paves the way for the Demo-2 mission, which will send a Crew Dragon with two astronauts aboard to the International Space Station under NASA's Commercial Crew Program. Demo-2 astronauts Bob Behnken and Doug Hurley were on hand at Kennedy for the In-Flight Abort Test.</t>
  </si>
  <si>
    <t>QkVRsbPhx_8</t>
  </si>
  <si>
    <t>2020 01 19</t>
  </si>
  <si>
    <t>https://youtu.be/4z4-OLSfdSc</t>
  </si>
  <si>
    <t>SpaceX In-Flight Abort Test</t>
  </si>
  <si>
    <t>NASA and SpaceX conduct an In-Flight Abort Test on Jan. 19, 2020, to demonstrate Crew Dragon's ability to safely separate from a Falcon 9 rocket in the unlikely event of a failure during launch. Liftoff occurred at 10:30 a.m. EST from Launch Complex 39A at the agency's Kennedy Space Center in Florida. The in-flight abort is the final, major test before astronauts fly to the International Space Station aboard Crew Dragon under NASA's Commercial Crew Program.</t>
  </si>
  <si>
    <t>4z4-OLSfdSc</t>
  </si>
  <si>
    <t>2020 01 17</t>
  </si>
  <si>
    <t>https://youtu.be/BFlLCL56v6E</t>
  </si>
  <si>
    <t>Inside KSC! Jan. 17, 2020</t>
  </si>
  <si>
    <t>Members of the media got an up-close look at Boeing's CST-100 Starliner spacecraft that flew on the company's Orbital Flight Test in December. Nicknamed "Calypso," the spacecraft is being refurbished for a future crewed flight. Also, scientists at NASA's Kennedy Space Center are growing tomatoes from seeds exposed to simulated solar particle radiation to study the effects of space radiation on plants.</t>
  </si>
  <si>
    <t>BFlLCL56v6E</t>
  </si>
  <si>
    <t>2020 01 10</t>
  </si>
  <si>
    <t>https://youtu.be/iS4kaPJBmEY</t>
  </si>
  <si>
    <t>Inside KSC! Jan. 10, 2020</t>
  </si>
  <si>
    <t>NASA and the European Space Agency are preparing to launch Solar Orbiter, a mission that will study the Sun, its outer atmosphere and solar wind. Liftoff of the United Launch Alliance Atlas V rocket is scheduled for Feb. 5 from Space Launch Complex 41 at Cape Canaveral Air Force Station in Florida. Also, SpaceX is gearing up for their In-Flight Abort Test, scheduled for Jan. 18, to demonstrate Crew Dragon's ability to safely separate from a Falcon 9 rocket.</t>
  </si>
  <si>
    <t>iS4kaPJBmEY</t>
  </si>
  <si>
    <t>2020 01 01</t>
  </si>
  <si>
    <t>https://youtu.be/Qx9qSo4M6_Q</t>
  </si>
  <si>
    <t>Launch Services Program 2020 Missions</t>
  </si>
  <si>
    <t>NASA’s Launch Services Program will be launching three science missions in 2020 to study the Sun, Mars and our Oceans.</t>
  </si>
  <si>
    <t>Qx9qSo4M6_Q</t>
  </si>
  <si>
    <t>2019 12 20</t>
  </si>
  <si>
    <t>https://youtu.be/VzYoCQZhTkA</t>
  </si>
  <si>
    <t>Liftoff of Boeing Orbital Flight Test</t>
  </si>
  <si>
    <t>A United Launch Alliance Atlas V rocket, carrying the Boeing CST-100 Starliner spacecraft, lifts off from Space Launch Complex 41 at Cape Canaveral Air Force Station in Florida at 6:36 a.m. EST on Dec. 20, 2019, for the company’s uncrewed Orbital Flight Test (OFT). OFT will be Starliner’s first mission to the International Space Station, ensuring the spacecraft and systems operate as designed before launching with crew.</t>
  </si>
  <si>
    <t>VzYoCQZhTkA</t>
  </si>
  <si>
    <t>https://youtu.be/m9nE9vb10PE</t>
  </si>
  <si>
    <t>Launch Conductors Poll for Boeing OFT Launch</t>
  </si>
  <si>
    <t>Launch conductors complete their poll of the launch teams for Boeing's Orbital Flight Test (OFT) to the International Space Station. Following the poll, teams received the "go" to proceed with the launch countdown. OFT will be Boeing's first uncrewed flight test under NASA's Commercial Crew Program.</t>
  </si>
  <si>
    <t>m9nE9vb10PE</t>
  </si>
  <si>
    <t>https://youtu.be/BSxr5UQDJhQ</t>
  </si>
  <si>
    <t>Boeing Orbital Flight Test Prelaunch Broadcast Begins</t>
  </si>
  <si>
    <t>At NASA’s Kennedy Space Center in Florida, the live broadcast begins for the countdown and launch of Boeing’s Orbital Flight Test (OFT) of the CST-100 Starliner spacecraft aboard a United Launch Alliance Atlas V rocket to the International Space Station. Launch is scheduled for 6:36 a.m. EST, Dec. 20, 2019, from Cape Canaveral Air Force Station’s Space Launch Complex 41. OFT is Boeing’s first uncrewed flight test under NASA’s Commercial Crew Program.</t>
  </si>
  <si>
    <t>BSxr5UQDJhQ</t>
  </si>
  <si>
    <t>2019 12 19</t>
  </si>
  <si>
    <t>https://youtu.be/mZePGKuo55w</t>
  </si>
  <si>
    <t>Inside KSC! Dec. 19, 2019</t>
  </si>
  <si>
    <t>Members of the media had an opportunity to see the Solar Orbiter spacecraft at the nearby Astrotech Space Operations payload processing facility where it’s being prepared for launch on February 5, 2020. NASA held a prelaunch briefing this week for Boeing’s Orbital Flight Test. The company’s CST-100 Starliner spacecraft will launch atop a United Launch Alliance Atlas V rocket from Space Launch Complex 41 on Cape Canaveral Air Force Station.</t>
  </si>
  <si>
    <t>mZePGKuo55w</t>
  </si>
  <si>
    <t>2019 12 16</t>
  </si>
  <si>
    <t>https://youtu.be/IY0qZwvJmjg</t>
  </si>
  <si>
    <t>Rocket Ranch Episode 18  To Launch a Starliner</t>
  </si>
  <si>
    <t>Commercial and government partnerships and contracts might not sound that fascinating, but when we're talking about certifying Boeing Starliner to carry humans to space, the challenges and complexities become a whole lot more interesting.</t>
  </si>
  <si>
    <t>IY0qZwvJmjg</t>
  </si>
  <si>
    <t>2019 12 13</t>
  </si>
  <si>
    <t>https://youtu.be/JZShkNXpAZk</t>
  </si>
  <si>
    <t>Inside KSC! Dec. 13, 2019</t>
  </si>
  <si>
    <t>The United Launch Alliance Atlas V rocket topped by Boeing's CST-100 Starliner was fully fueled for a countdown rehearsal for the upcoming Orbital Flight Test, Boeing’s uncrewed flight to the International Space Station for NASA’s Commercial Crew Program. Also, Kennedy Space Center Bob Cabana hosted an end-of-year coffee event for the workforce at the multi-user spaceport.</t>
  </si>
  <si>
    <t>JZShkNXpAZk</t>
  </si>
  <si>
    <t>2019 12 06</t>
  </si>
  <si>
    <t>https://youtu.be/azrBxrlXIVA</t>
  </si>
  <si>
    <t>Inside KSC! Dec. 6, 2019</t>
  </si>
  <si>
    <t>SpaceX’s uncrewed Dragon spacecraft is on its way to the International Space Station after launching aboard the company’s Falcon 9 rocket from Cape Canaveral Air Force Station’s Space Launch Complex 40 on Thursday afternoon. The launch marked the 19th mission under NASA’s Commercial Resupply Services mission. Also, Kennedy Space Center recently hosted an Innovation Days event, attracting nearly 50 exhibitors to the center’s Neil Armstrong Operations and Checkout Building. Participants represented multiple programs and organizations throughout the multi-user spaceport.</t>
  </si>
  <si>
    <t>azrBxrlXIVA</t>
  </si>
  <si>
    <t>2019 12 05</t>
  </si>
  <si>
    <t>https://youtu.be/e8YFpGvDKiY</t>
  </si>
  <si>
    <t>SpaceX CRS-19 Opening Broadcast  Dec. 5, 2019</t>
  </si>
  <si>
    <t>At NASA's Kennedy Space Center in Florida, SpaceX's Headquarters in Hawthorne, California, and Mission Control at Johnson Space Center in Houston, the live broadcast begins for the countdown and liftoff of SpaceX’s 19th Commercial Resupply Services mission to the International Space Station. Launch is scheduled for 12:29 p.m. EST on Thursday, Dec. 5, 2019, from Launch Complex 40 at Florida’s Cape Canaveral Air Force Station.</t>
  </si>
  <si>
    <t>e8YFpGvDKiY</t>
  </si>
  <si>
    <t>https://youtu.be/gAkih4DvcV8</t>
  </si>
  <si>
    <t>CRS-19 Spacecraft Separation is Successful</t>
  </si>
  <si>
    <t>There is a successful deployment of the Dragon spacecraft! SpaceX's 19th Commercial Resupply Services mission lifted off from Space Launch Complex 40 at Florida’s Cape Canaveral Air Force Station at 12:29 p.m. EST on Thursday, Dec. 5, 2019. On the CRS-19 mission, the Dragon spacecraft is carrying 5,700 pounds of science investigations, supplies and equipment, including a next-generation Earth imaging system, to the orbiting laboratory.</t>
  </si>
  <si>
    <t>gAkih4DvcV8</t>
  </si>
  <si>
    <t>https://youtu.be/m3qlOgjQ8IQ</t>
  </si>
  <si>
    <t>SpaceX CRS-19  Solar Arrays are Deployed</t>
  </si>
  <si>
    <t>Dragon's solar arrays are deployed as the spacecraft begins its journey to the International Space Station. SpaceX's 19th Commercial Resupply Services mission lifted off from Space Launch Complex 40 at Florida’s Cape Canaveral Air Force Station at 12:29 p.m. EST on Thursday, Dec. 5, 2019. On the CRS-19 mission, the Dragon spacecraft is carrying 5,700 pounds of science investigations, supplies and equipment, including a next-generation Earth imaging system, to the orbiting laboratory.</t>
  </si>
  <si>
    <t>m3qlOgjQ8IQ</t>
  </si>
  <si>
    <t>https://youtu.be/Qq2dRRZdbNk</t>
  </si>
  <si>
    <t>SpaceX CRS-19 Liftoff!</t>
  </si>
  <si>
    <t>The SpaceX Falcon 9 rocket carrying the Dragon spacecraft lifts off from Cape Canaveral Air Force Station’s Space Launch Complex 40 at 12:29 p.m. EST on Thursday, Dec. 5, 2019. This is SpaceX’s 19th Commercial Resupply Services mission for NASA to the International Space Station. On the CRS-19 mission, the uncrewed Dragon spacecraft will deliver 5,700 pounds of science and research, crew supplies and hardware to the orbiting laboratory.</t>
  </si>
  <si>
    <t>Qq2dRRZdbNk</t>
  </si>
  <si>
    <t>2019 12 03</t>
  </si>
  <si>
    <t>https://youtu.be/7uaSOg4686g</t>
  </si>
  <si>
    <t xml:space="preserve">How do you weigh things in space </t>
  </si>
  <si>
    <t>How do astronauts measure the weight of small items on the International Space Station, which is a microgravity environment, and scales don't work without gravity? Although astronauts can't measure weight without gravity, they can measure mass. According to Newton’s second law, force, acceleration and mass are all related to one another. In space, astronauts use the Mass Measurement Device (MMD), which applies a known acceleration to the sample and measures the resulting force. The MMD can measure between 1-100 grams and has an accuracy of .1 grams. There are also other mass measurement devices on the ISS like the Space Linear Acceleration Mass Measurement Device (SLAMMD), which can measure the mass of an astronaut.</t>
  </si>
  <si>
    <t>7uaSOg4686g</t>
  </si>
  <si>
    <t>2019 11 27</t>
  </si>
  <si>
    <t>https://youtu.be/uMNSZn682CI</t>
  </si>
  <si>
    <t>Inside KSC for Nov. 27, 2019</t>
  </si>
  <si>
    <t>NASA's Orion spacecraft left Kennedy Space Center and was flown to the agency's Plum Brook Station in Ohio to undergo environmental testing. Also, the 19th SpaceX mission under NASA's Commercial Resupply Services contract is scheduled for Wednesday, Dec. 4, at 12:51 EST.</t>
  </si>
  <si>
    <t>uMNSZn682CI</t>
  </si>
  <si>
    <t>https://youtu.be/RYAIWK8EMpQ</t>
  </si>
  <si>
    <t>An out of this world harvest in a small garden in space</t>
  </si>
  <si>
    <t>A team of researchers on the ground at NASA’s Kennedy Space Center supports astronauts as they harvest crops grown in space aboard the International Space Station in the Veggie growth chamber. The experiment examines Mizuna mustard as a salad green to determine productivity, nutritional value and suitability of using fresh crops to supplement astronauts’ diets. The ability to grow a supplemental food crop is a solution to the challenge of long-duration missions into deep space, and the International Space Station is the only platform for long-duration research in microgravity where astronauts are solving these challenges. The packaged diet currently used by crews in low-Earth orbit aboard the International Space Station works well and has supported an uninterrupted human presence in space since Nov. 2, 2000; however, it relies on resupply missions. During a two- or three-year mission to Mars, the vitamins and quality of packaged food would degrade over time. Supplementation with fresh, edible crops will provide necessary nutrients while also enhancing dietary variety.
To learn more about the International Space Station visit https://www.nasa.gov/mission_pages/station/main/index.html
To learn more about NASA’s Moon to Mars efforts please visit https://www.nasa.gov/topics/moon-to-mars</t>
  </si>
  <si>
    <t>RYAIWK8EMpQ</t>
  </si>
  <si>
    <t>2019 11 22</t>
  </si>
  <si>
    <t>https://youtu.be/jCHH1av1clI</t>
  </si>
  <si>
    <t>Inside KSC! Nov. 22, 2019</t>
  </si>
  <si>
    <t>Boeing’s CST-100 Starliner spacecraft rolls to Space Launch Complex 41 in preparation for the uncrewed Orbital Flight Test mission to the International Space Station for NASA’s Commercial Crew Program. Also, Kennedy Space Center’s Emergency Response Team posted a top-10 finish in the annual SWAT Round-up International competition in Orlando.</t>
  </si>
  <si>
    <t>jCHH1av1clI</t>
  </si>
  <si>
    <t>https://youtu.be/59_vhOYoWWs</t>
  </si>
  <si>
    <t>NASA’s MSolo  A tool for measuring lunar resources</t>
  </si>
  <si>
    <t>The Mass Spectrometer observing lunar operations (MSolo) is a new tool that NASA is sending to the Moon as part of the Commercial Lunar Payload Services contract. On the Moon, MSolo can measure resources like water, or it can measure the amount of gasses coming from landers during touchdown. Water, in the form of lunar ice, is an important resource for NASA's Artemis program, which will land the first woman and next man on the surface of the Moon by 2024, because astronauts can use it for sustainment and fuel. MSolo took an off-the-shelf mass spectrometer and ruggedized it to work in the harsh lunar environment.</t>
  </si>
  <si>
    <t>59_vhOYoWWs</t>
  </si>
  <si>
    <t>2019 11 15</t>
  </si>
  <si>
    <t>https://youtu.be/MPRfZJ_wKvg</t>
  </si>
  <si>
    <t>Inside KSC! Nov. 15, 2019</t>
  </si>
  <si>
    <t>SpaceX completed static fire tests of its Crew Dragon spacecraft at Landing Zone 1 on Cape Canaveral Air Force Station on Nov. 13, 2019. During the tests, SpaceX completed firings of its Draco thrusters and SuperDraco engines. Stacking is complete on the rocket set to launch Boeing's CST-100 Starliner on its first flight to the International Space Station. Teams mated a Centaur upper stage to the United Launch Alliance Atlas V first stage inside the Space Launch Complex 41 Vertical Integration Facility at Cape Canaveral Air Force Station.</t>
  </si>
  <si>
    <t>MPRfZJ_wKvg</t>
  </si>
  <si>
    <t>2019 11 13</t>
  </si>
  <si>
    <t>https://youtu.be/3GExgpFjBHQ</t>
  </si>
  <si>
    <t>Inside KSC! Nov. 8, 2019</t>
  </si>
  <si>
    <t>Boeing’s CST-100 Starliner completed the Pad Abort Test, November 4, at the U.S. Army’s White Sands Missile Range in New Mexico. The next spacecraft to study the Sun arrived at Kennedy on November 1. Solar Orbiter was delivered to the Launch and Landing Facility, formerly the Shuttle Landing Facility, aboard an Antonov cargo plane. Solar Orbiter is a European Space Agency mission with NASA participation. This week, the spaceport was the first NASA center to be named a Purple Heart Entity by the Military Order of the Purple Heart. Kennedy is being recognized as a Purple Heart Entity for the support of veterans though employment opportunities and services provided to veterans by the center’s veterans employee resource group.</t>
  </si>
  <si>
    <t>3GExgpFjBHQ</t>
  </si>
  <si>
    <t>2019 11 01</t>
  </si>
  <si>
    <t>https://youtu.be/BnmKCaK3jm8</t>
  </si>
  <si>
    <t>Inside KSC! Nov. 1, 2019</t>
  </si>
  <si>
    <t>The Space Launch System core stage pathfinder - a full-scale mock-up of the rocket's actual core stage - was loaded back onto NASA's Pegasus barge for its return trip to the agency's Michoud Assembly Facility in Louisiana. While at Kennedy, the pathfinder allowed teams to practice offloading, maneuvering and stacking techniques. Also, SpaceX fired up the Crew Dragon's SuperDraco engines in preparation of the company's In-Flight Abort Test.</t>
  </si>
  <si>
    <t>BnmKCaK3jm8</t>
  </si>
  <si>
    <t>https://youtu.be/VcCilovgOBo</t>
  </si>
  <si>
    <t>Rocket Ranch Episode 17  Abort!</t>
  </si>
  <si>
    <t>Rockets are dangerous. And before we strap our star sailors in, we need to know there is a proven escape plan. Learn about the next two major tests under NASA's Commercial Crew Program as we prepare to transport humans safely to and from the International Space Station.</t>
  </si>
  <si>
    <t>VcCilovgOBo</t>
  </si>
  <si>
    <t>2019 10 25</t>
  </si>
  <si>
    <t>https://youtu.be/Pp8QL8Ap8TM</t>
  </si>
  <si>
    <t>EGS Striving Toward Launch of Artemis I</t>
  </si>
  <si>
    <t>Exploration Ground Systems accomplished many milestones in 2019 on the way to Artemis I. From moving the mobile launcher out to Launch Pad 39B for testing and validation, to conducting launch countdown simulations in Firing Room 1, we are going! Artemis I will be the first test of the Space Launch System and Orion capsule on a journey around the Moon.</t>
  </si>
  <si>
    <t>Pp8QL8Ap8TM</t>
  </si>
  <si>
    <t>https://youtu.be/mPLNg1dj6eU</t>
  </si>
  <si>
    <t>Inside KSC! Oct. 25, 2019</t>
  </si>
  <si>
    <t>The NASA Business Opportunities Expo 2019 attracted about 200 business and government exhibitors. The event, which highlighted women-owned small businesses — and other socioeconomic categories — was held in Port Canaveral. Also, the rock band X Ambassadors toured unique areas around Kennedy Space Center, including Launch Complex 39B and Swamp Works.</t>
  </si>
  <si>
    <t>mPLNg1dj6eU</t>
  </si>
  <si>
    <t>2019 10 18</t>
  </si>
  <si>
    <t>https://youtu.be/zS77Mi1wVP4</t>
  </si>
  <si>
    <t>360 View of SLS Core Stage Pathfinder Lift  Camera 2</t>
  </si>
  <si>
    <t>The Space Launch System's Core Stage Pathfinder is lifted from the Vehicle Assembly Building's transfer aisle and into High Bay 3 at NASA's Kennedy Space Center on Oct. 16, 2019. The Pathfinder, or practice hardware, is being used by Exploration Ground Systems and its contractor, Jacobs, to practice offloading, moving, and stacking maneuvers, using important ground support equipment to train employees and certify all the equipment works properly.</t>
  </si>
  <si>
    <t>zS77Mi1wVP4</t>
  </si>
  <si>
    <t>https://youtu.be/4_WIfQT-JyQ</t>
  </si>
  <si>
    <t>Inside KSC! Oct. 18, 2019</t>
  </si>
  <si>
    <t>Practice makes perfect! Exploration Ground Systems and its contractor, Jacobs, rehearsed lifting procedures of the Space Launch System core stage using a full-scale mock-up, called pathfinder, inside the Vehicle Assembly Building. Kennedy employees recently assembled the flight hardware for NASA's Orbital Syngas Commodity Augmentation Reactor, or OSCAR, inside a laboratory at the center. OSCAR will be used to study technology that converts trash and human waste into useful gasses such as methane, hydrogen and carbon dioxide.</t>
  </si>
  <si>
    <t>4_WIfQT-JyQ</t>
  </si>
  <si>
    <t>https://youtu.be/lxGlxbSXrR0</t>
  </si>
  <si>
    <t>360 View of SLS Core Stage Pathfinder Lift</t>
  </si>
  <si>
    <t>lxGlxbSXrR0</t>
  </si>
  <si>
    <t>2019 10 16</t>
  </si>
  <si>
    <t>https://youtu.be/_9XrPuPnhfo</t>
  </si>
  <si>
    <t>Rocket Ranch Episode 16  An ICONic Launch</t>
  </si>
  <si>
    <t>Most of the time, we launch rockets with the pointy end up. Sometimes, we strap rockets to the belly of commercial airliners and drop them over the ocean. Learn about NASA's Ionospheric Connection Explorer (ICON) and the air-launched Northrop Grumman Pegasus XL rocket that carried the satellite into space.</t>
  </si>
  <si>
    <t>_9XrPuPnhfo</t>
  </si>
  <si>
    <t>2019 10 15</t>
  </si>
  <si>
    <t>https://youtu.be/Odl0TFh0Qy0</t>
  </si>
  <si>
    <t>Multi-arm Swing Test</t>
  </si>
  <si>
    <t>Exploration Ground Systems continued to make sure the mobile launcher is ready for Artemis I with a multi-arm swing test on Friday, October 4, 2019 at Launch Pad 39B at Kennedy Space Center in Florida. The Umbilical Arm Simultaneous Retract Test included retraction of the connections that will provide fuel, coolant and communications to the Space Launch System rocket up until launch. The umbilicals tested included the Interim Cryogenic Propulsion Stage Umbilical (ICPSU), the Core Stage Forward Skirt Umbilical (CSFSU) and the Core Stage Intertank Umbilical (CSIU).</t>
  </si>
  <si>
    <t>Odl0TFh0Qy0</t>
  </si>
  <si>
    <t>2019 10 11</t>
  </si>
  <si>
    <t>https://youtu.be/BJvJeeiPpto</t>
  </si>
  <si>
    <t>Inside KSC! Oct. 11, 2019</t>
  </si>
  <si>
    <t>This week, NASA's Ionospheric Connection Explorer, or ICON, launched aboard a Northrop Grumman Pegasus XL rocket on a mission to study the weather where Earth meets space. Also, the agency's Exploration Ground Systems contucted a swing arm test of multiple arms on the mobile launcher, another step toward launch of NASA's Space Launch System rocket and Orion spacecraft on Artemis I.</t>
  </si>
  <si>
    <t>BJvJeeiPpto</t>
  </si>
  <si>
    <t>https://youtu.be/daU1z50_SjM</t>
  </si>
  <si>
    <t>Interview with NASA's ICON Launch Manager Omar Baez</t>
  </si>
  <si>
    <t>NASA Launch Manager Omar Baez is interviewed following the launch of the agency's Ionospheric Connection Explorer (ICON). ICON was air-launched from a Northrop Grumman Pegasus XL rocket, which was attached to the underside of the company's L-1011 Stargazer aircraft. ICON is embarking on a mission to study the dynamic zone high in Earth's atmosphere where terrestrial weather from below meets space weather above.</t>
  </si>
  <si>
    <t>daU1z50_SjM</t>
  </si>
  <si>
    <t>https://youtu.be/Bj7urES3pEY</t>
  </si>
  <si>
    <t>Launch of Pegasus XL Carrying ICON</t>
  </si>
  <si>
    <t>The Northrop Grumman Pegasus XL rocket carrying NASA's Ionospheric Connection Explorer (ICON)  launches from the company's L-1011 Stargazer aircraft. ICON is embarking on a mission to study the dynamic zone high in Earth's atmosphere where terrestrial weather from below meets space weather above.</t>
  </si>
  <si>
    <t>Bj7urES3pEY</t>
  </si>
  <si>
    <t>https://youtu.be/24R_RNAEe9s</t>
  </si>
  <si>
    <t>ICON  Polling for Launch</t>
  </si>
  <si>
    <t>NASA Launch Manager Omar Baez polls the agency launch team for a final "go/no-go" to launch the Northrop Grumman Pegasus XL rocket carrying the Ionospheric Connection Explorer (ICON). ICON will study the frontier of space - the dynamic zone high in Earth's atmosphere where terrestrial weather from below meets space weather above.</t>
  </si>
  <si>
    <t>24R_RNAEe9s</t>
  </si>
  <si>
    <t>https://youtu.be/T-iAYCFo_zE</t>
  </si>
  <si>
    <t>ICON  Launch Broadcast Begins</t>
  </si>
  <si>
    <t>NASA begins team coverage of the launch of the agency's Ionospheric Connection Explorer (ICON) aboard a Northrop Grumman Pegasus XL rocket. The air-launched rocket will be carried aloft by the company's L-1011 Stargazer aircraft, which took off from Cape Canaveral Air Force Station in Florida. ICON will study the frontier of space - the dynamic zone high in Earth's atmosphere where terrestrial weather from below meets space weather above.</t>
  </si>
  <si>
    <t>T-iAYCFo_zE</t>
  </si>
  <si>
    <t>https://youtu.be/VJj0w_rJfX8</t>
  </si>
  <si>
    <t>ICON  Takeoff of L-1011 Stargazer Aircraft</t>
  </si>
  <si>
    <t>The Northrop Grumman L-1011 Stargazer aircraft takes off from Cape Canaveral Air Force Station in Florida, carrying the Pegasus XL rocket that contains NASA's Ionospheric Connection Explorer (ICON). ICON will study the frontier of space - the dynamic zone high in Earth's atmosphere where terrestrial weather from below meets space weather above.</t>
  </si>
  <si>
    <t>VJj0w_rJfX8</t>
  </si>
  <si>
    <t>2019 10 07</t>
  </si>
  <si>
    <t>https://youtu.be/Q412u-Pwzd0</t>
  </si>
  <si>
    <t>NASA's Commercial Crew Program VR 360 Tour  Video Highlights</t>
  </si>
  <si>
    <t>This condensed video includes highlights from NASA Communications Specialist Joshua Santora and NASA STEM Engagement Specialist Rachel Power as they take you on an immersive, Virtual Reality tour and overview of NASA’s Commercial Crew Program! Visit nasa.gov/stem/ccp for more STEM educational resources featuring NASA’s Commercial Crew Program.</t>
  </si>
  <si>
    <t>Q412u-Pwzd0</t>
  </si>
  <si>
    <t>https://youtu.be/H0_lGAC1cKc</t>
  </si>
  <si>
    <t>NASA's Commercial Crew Program VR 360 Tour  Launching from Kennedy Space Center</t>
  </si>
  <si>
    <t>In Part 6 of NASA’s Commercial Crew Program VR 360 Tour, NASA Communications Specialist Joshua Santora takes you to Launch Complex 39A and Space Launch Complex 41 at Kennedy Space Center. Visit nasa.gov/stem/ccp for more STEM educational resources featuring NASA’s Commercial Crew Program.</t>
  </si>
  <si>
    <t>H0_lGAC1cKc</t>
  </si>
  <si>
    <t>https://youtu.be/BMvPLd25LV8</t>
  </si>
  <si>
    <t>NASA's Commercial Crew Program VR 360 Tour  A New Era in Spaceflight</t>
  </si>
  <si>
    <t>In Part 5 of NASA’s Commercial Crew Program VR 360 Tour, NASA STEM Engagement Specialist Rachel Power continues our tour and overview of astronaut training facilities inside Johnson Space Center. This immersive, Virtual Reality tour gives you a closer look at NASA Spacecraft Simulation and Spacesuit Training. Visit nasa.gov/stem/ccp for more STEM educational resources featuring NASA’s Commercial Crew Program.</t>
  </si>
  <si>
    <t>BMvPLd25LV8</t>
  </si>
  <si>
    <t>https://youtu.be/gk0ijHIP3hw</t>
  </si>
  <si>
    <t>NASA's Commercial Crew Program VR 360 Tour  Train Like an Astronaut</t>
  </si>
  <si>
    <t>In Part 4 of NASA’s Commercial Crew Program VR 360 Tour, NASA STEM Engagement Specialist Rachel Power gives you an overview of the astronaut training required for living and working on the International Space Station. This video is an immersive, Virtual Reality tour of the facilities inside Johnson Space Center including the Neutral Buoyancy Lab. Visit nasa.gov/stem/ccp for more STEM educational resources featuring NASA’s Commercial Crew Program.</t>
  </si>
  <si>
    <t>gk0ijHIP3hw</t>
  </si>
  <si>
    <t>https://youtu.be/9rY_xecfMyc</t>
  </si>
  <si>
    <t>NASA's Commercial Crew Program VR 360 Tour  Boeing CST-100 Starliner</t>
  </si>
  <si>
    <t>In Part 3 of NASA’s Commercial Crew Program VR 360 Tour, NASA STEM Engagement Specialist Rachel Power gives you a closer look at the Boeing CST-100 Starliner. This immersive, Virtual Reality tour takes you inside the Commercial Crew and Cargo Processing Facility at Kennedy Space Center where the Starliner is being built. Visit nasa.gov/stem/ccp for more STEM educational resources featuring NASA’s Commercial Crew Program.</t>
  </si>
  <si>
    <t>9rY_xecfMyc</t>
  </si>
  <si>
    <t>https://youtu.be/Rc5D2Jb7qXQ</t>
  </si>
  <si>
    <t>NASA's Commercial Crew Program VR 360 Tour  SpaceX Crew Dragon</t>
  </si>
  <si>
    <t>In Part 2 of NASA’s Commercial Crew Program VR 360 Tour, NASA Communications Specialist Joshua Santora takes you on a tour of SpaceX Headquarters in Hawthorne, California. This immersive, Virtual Reality experience exhibits the design and manufacturing of the SpaceX Crew Dragon. Visit nasa.gov/stem/ccp for more STEM educational resources featuring NASA’s Commercial Crew Program.</t>
  </si>
  <si>
    <t>Rc5D2Jb7qXQ</t>
  </si>
  <si>
    <t>https://youtu.be/SUYuxZSaeH0</t>
  </si>
  <si>
    <t>NASA's Commercial Crew Program VR 360 Tour  Preparing to Launch America</t>
  </si>
  <si>
    <t>Get ready for an immersive, Virtual Reality tour of NASA’s Commercial Crew Program! NASA Communications Specialist Joshua Santora provides an overview of the Commercial Crew Program while relaying historical insights and reviewing CCP’s vehicles and commercial partnerships with Boeing and SpaceX. Visit nasa.gov/stem/ccp for more STEM educational resources featuring NASA’s Commercial Crew Program.</t>
  </si>
  <si>
    <t>SUYuxZSaeH0</t>
  </si>
  <si>
    <t>2019 10 04</t>
  </si>
  <si>
    <t>https://youtu.be/lncMoOv7O-Y</t>
  </si>
  <si>
    <t>Inside KSC! Oct. 4, 2019</t>
  </si>
  <si>
    <t>A full-scale mock-up of the Space Launch System rocket’s core stage arrived at Kennedy Space Center. It will be used to practice stacking maneuvers and other procedures before the actual hardware arrives to be processed for the Artemis I mission. Also, the Ionospheric Connection Explorer (ICON) is at Cape Canaveral Air Force Station. ICON, which is sealed inside a Northrop Grumman Pegasus XL rocket, will be air-launched by the company’s L-1011 aircraft, Stargazer, as it flies off Florida’s east coast on Oct. 9.</t>
  </si>
  <si>
    <t>lncMoOv7O-Y</t>
  </si>
  <si>
    <t>https://youtu.be/S4iu55eDQhE</t>
  </si>
  <si>
    <t>Rocket Ranch Episode 15  Jedi Masters of Launchery</t>
  </si>
  <si>
    <t>For over 20 years, NASA's Launch Services Program (LSP) has been the workhorse of uncrewed spaceflight, enabling exploration of Pluto, the Sun, the Earth and other worlds. In this episode, we hear from Amanda Mitskevich and Chuck Dovale - two leaders within LSP.</t>
  </si>
  <si>
    <t>S4iu55eDQhE</t>
  </si>
  <si>
    <t>https://youtu.be/QGrZ-Lq6pHs</t>
  </si>
  <si>
    <t>Exploration Research and Technology Spotlight on Ralph Fritsche</t>
  </si>
  <si>
    <t>Ralph Fritsche, Space Crop Production Project Manager with Kennedy Space Center’s Exploration Research &amp; Technology Programss, focuses on development of concepts, strategies and partnerships that promote the inclusion of freshly grown crops as part of the food system for long duration missions to the Moon and Mars.</t>
  </si>
  <si>
    <t>QGrZ-Lq6pHs</t>
  </si>
  <si>
    <t>2019 09 27</t>
  </si>
  <si>
    <t>https://youtu.be/W7EJSd-nEp4</t>
  </si>
  <si>
    <t>Inside KSC! Sept. 27, 2019</t>
  </si>
  <si>
    <t>Kennedy Space Center senior leaders viewed a mock-up of the cargo logistics module for Sierra Nevada Corporation’s Dream Chaser inside the SSPF. And the Orbital Syngas Commodity Augmentation Reactor (OSCAR) is approaching another major milestone.</t>
  </si>
  <si>
    <t>W7EJSd-nEp4</t>
  </si>
  <si>
    <t>2019 09 20</t>
  </si>
  <si>
    <t>https://youtu.be/hb_7EpI0r8Q</t>
  </si>
  <si>
    <t>Inside KSC! Sept. 20, 2019</t>
  </si>
  <si>
    <t>NASA's Exploration Ground Systems performed another successful test of the sound suppression system at Launch Pad 39B in preparation for Artemis I. During the test, the system released 450,000 gallons of water across the mobile launcher and flame deflector in a little over 30 seconds. Also, NASA and SpaceX were awarded an Emmy for Outstanding Interactive Program for the launch broadcast of SpaceX's Demo-1 mission. Under the agency's Commercial Crew Program, SpaceX launched its inaugural uncrewed Demo-1 flight test to the International Space Station in March.</t>
  </si>
  <si>
    <t>hb_7EpI0r8Q</t>
  </si>
  <si>
    <t>2019 09 18</t>
  </si>
  <si>
    <t>https://youtu.be/4XklSyOj_f4</t>
  </si>
  <si>
    <t>SpaceX Parachute Test</t>
  </si>
  <si>
    <t>Crew Dragon parachutes successfully deploy during latest development test that simulated a pad abort, where the vehicle is tumbling at low altitude before parachute deploy, validating SpaceX’s parachute models and margins.</t>
  </si>
  <si>
    <t>4XklSyOj_f4</t>
  </si>
  <si>
    <t>2019 09 13</t>
  </si>
  <si>
    <t>https://youtu.be/91O70aPQGTY</t>
  </si>
  <si>
    <t>Inside KSC! Sept. 13, 2019</t>
  </si>
  <si>
    <t>Hurricane Dorian skirted the coast of Kennedy Space Center on Sept. 3 and 4. A few days before, the Mobile Launcher, atop the crawler-transporter, was moved from Launch Pad 39B back to the Vehicle Assembly Building as a precaution. Kennedy Director Bob Cabana presented awards to NASA and contractor employees during the center's annual NASA KSC Honor Awards Ceremony on Sept. 10.</t>
  </si>
  <si>
    <t>91O70aPQGTY</t>
  </si>
  <si>
    <t>2019 09 11</t>
  </si>
  <si>
    <t>https://youtu.be/hMfAxN0URMY</t>
  </si>
  <si>
    <t>Rocket Ranch Episode 14  The Kids of Summer</t>
  </si>
  <si>
    <t>Every member of the NASA team is critical to our success, even if they're still finishing school. In this episode, we hear from two of our summer interns, Amber George and Peter Henson, during their first week here and their first impressions.</t>
  </si>
  <si>
    <t>hMfAxN0URMY</t>
  </si>
  <si>
    <t>2019 08 30</t>
  </si>
  <si>
    <t>https://youtu.be/4dHCgxtAp3M</t>
  </si>
  <si>
    <t>Inside KSC! Aug. 30, 2019</t>
  </si>
  <si>
    <t>This week, a mechanical engineer representing the Artemis generation is one of only nine current drivers of NASA's crawler-transporter, and U.S. radio host Tom Joyner visits Kennedy for a panel discussion about the agency's Moon to Mars plans.</t>
  </si>
  <si>
    <t>4dHCgxtAp3M</t>
  </si>
  <si>
    <t>2019 08 23</t>
  </si>
  <si>
    <t>https://youtu.be/Hx8EWvKqDGM</t>
  </si>
  <si>
    <t>Inside KSC  Aug. 23, 2019</t>
  </si>
  <si>
    <t>A major milestone was achieved with the release of the Gateway Logistics Services request for proposals. And Northrop Grumman will assemble and test its new OmegA rocket inside Kennedy Space Center's Vehicle Assembly Building.</t>
  </si>
  <si>
    <t>Hx8EWvKqDGM</t>
  </si>
  <si>
    <t>2019 08 12</t>
  </si>
  <si>
    <t>https://youtu.be/-xoVUaHVKGE</t>
  </si>
  <si>
    <t>Rocket Ranch Episode 13  When Rockets Need Rescue</t>
  </si>
  <si>
    <t>NASA has a vested interest in an unusually high number of test flights this year. In this episode, we unpack the need and value of test flights with Jon Cowart, as well as dig into the recent, successful, second test of Orion’s Launch Abort System with Carlos Garcia.</t>
  </si>
  <si>
    <t>-xoVUaHVKGE</t>
  </si>
  <si>
    <t>2019 08 09</t>
  </si>
  <si>
    <t>https://youtu.be/q7VOWA2BQbo</t>
  </si>
  <si>
    <t>Inside KSC! Aug. 9, 2019</t>
  </si>
  <si>
    <t>Kennedy Space Center scientist Gioia Massa was among 18 NASA engineers and researchers who received the Presidential Early Career Award for Scientists and Engineers. And the center's Research and Technology Programs hosted a two-day workshop focusing on robotics and automation in space crop production.</t>
  </si>
  <si>
    <t>q7VOWA2BQbo</t>
  </si>
  <si>
    <t>2019 08 02</t>
  </si>
  <si>
    <t>https://youtu.be/KY408NyQ8c0</t>
  </si>
  <si>
    <t>Inside KSC! for Aug. 2, 2019</t>
  </si>
  <si>
    <t>This week in space news, NASA, Boeing and United Launch Alliance rehearsed an escape and triage simulation in the unlikely event of an emergency. The exercise involved two NASA astronauts and one astronaut candidate practicing safely escaping Launch Complex 41 and reaching a nearby staging area for medical attention. Also this week, Kennedy’s iconic Vehicle Assembly Building received a “Test of Time” architectural award.</t>
  </si>
  <si>
    <t>KY408NyQ8c0</t>
  </si>
  <si>
    <t>2019 07 26</t>
  </si>
  <si>
    <t>https://youtu.be/_rzZcNcyI38</t>
  </si>
  <si>
    <t>Inside KSC! for July 26, 2019</t>
  </si>
  <si>
    <t>Vice President Mike Pence visited Kennedy Space Center on the 50th anniversary of the Apollo 11 mission. Also, SpaceX successfully launched CRS-18 from Launch Complex 40 at Cape Canaveral Air Force Station.</t>
  </si>
  <si>
    <t>_rzZcNcyI38</t>
  </si>
  <si>
    <t>2019 07 25</t>
  </si>
  <si>
    <t>https://youtu.be/O4e8PiAPCqk</t>
  </si>
  <si>
    <t>CRS-18 Post Launch Interview</t>
  </si>
  <si>
    <t>NASA launch commentator Derrol Nail talks with Bill Spetch, deputy manager of the International Space Station, transportation integration office at NASA, after the successful SpaceX CRS-18 launch. A Falcon 9 rocket, carrying a Dragon capsule filled with about 5,000 pounds of supplies and experiments, lifted off from Launch Complex 40 at Cape Canaveral Air Force Station on Thursday, July 25, at 6:01 p.m. It will arrive at the space station on Saturday morning.</t>
  </si>
  <si>
    <t>O4e8PiAPCqk</t>
  </si>
  <si>
    <t>https://youtu.be/x_0wBdZ5tgc</t>
  </si>
  <si>
    <t>SpaceX CRS-18  Solar Arrays Deployed</t>
  </si>
  <si>
    <t>Dragon's solar arrays are deployed as the spacecraft begins its journey to the International Space Station. SpaceX's 18th Commercial Resupply Services mission lifted off from Space Launch Complex 40 at Florida’s Cape Canaveral Air Force Station at 6:01 p.m. EDT on July 25, 2019. On the CRS-18 mission, the Dragon spacecraft will deliver about 5,000 pounds of science and research, crew supplies and hardware to the orbiting laboratory.</t>
  </si>
  <si>
    <t>x_0wBdZ5tgc</t>
  </si>
  <si>
    <t>https://youtu.be/iB6vOP4_9wM</t>
  </si>
  <si>
    <t>SpaceX CRS-18 Liftoff!</t>
  </si>
  <si>
    <t>The SpaceX Falcon 9 rocket carrying the Dragon spacecraft lifts off from Cape Canaveral Air Force Station’s Space Launch Complex 40 at 6:01 p.m. EDT on July 25, 2019. This is SpaceX’s 18th Commercial Resupply Services mission for NASA to the International Space Station. On the CRS-18 mission, the uncrewed Dragon spacecraft will deliver about 5,000 pounds of science and research, crew supplies and hardware to the orbiting laboratory.</t>
  </si>
  <si>
    <t>iB6vOP4_9wM</t>
  </si>
  <si>
    <t>https://youtu.be/kaxXuzVZMT0</t>
  </si>
  <si>
    <t>SpaceX CRS-18 Opening Broadcast  July 25, 2019</t>
  </si>
  <si>
    <t>At NASA's Kennedy Space Center in Florida, SpaceX's Headquarters in Hawthorne, California, and Mission Control at Johnson Space Center in Houston, the live broadcast begins for the countdown and liftoff of SpaceX’s 18th Commercial Resupply Services mission to the International Space Station. Launch is scheduled for 6:01 p.m. EDT on July 25, 2019, from Launch Complex 40 at Florida’s Cape Canaveral Air Force Station.</t>
  </si>
  <si>
    <t>kaxXuzVZMT0</t>
  </si>
  <si>
    <t>2019 07 24</t>
  </si>
  <si>
    <t>https://youtu.be/O4dQTh6LKeU</t>
  </si>
  <si>
    <t>SpaceX CRS-18 Launch is Scrubbed</t>
  </si>
  <si>
    <t>Weather proved to be too much to overcome as SpaceX's CRS-18 launch from Launch Complex 40 at Cape Canaveral Air Force Station was scrubbed. The next attempt is set for tomorrow, July 25, at 6:01 p.m. SpaceX's 18th resupply mission will deliver supplies and experiments to the International Space Station.</t>
  </si>
  <si>
    <t>O4dQTh6LKeU</t>
  </si>
  <si>
    <t>https://youtu.be/M11E3kQgPqY</t>
  </si>
  <si>
    <t>SpaceX CRS-18  Launch Broadcast Begins</t>
  </si>
  <si>
    <t>At NASA's Kennedy Space Center in Florida, SpaceX's Headquarters in Hawthorne, California, and Mission Control at Johnson Space Center in Houston, the live broadcast begins for the countdown and liftoff of SpaceX’s 18th Commercial Resupply Services mission to the International Space Station. Launch is scheduled for 6:24 p.m. EDT on July 24, 2019, from Launch Complex 40 at Florida’s Cape Canaveral Air Force Station.</t>
  </si>
  <si>
    <t>M11E3kQgPqY</t>
  </si>
  <si>
    <t>2019 07 19</t>
  </si>
  <si>
    <t>https://youtu.be/2jsLPPN4EUY</t>
  </si>
  <si>
    <t>Inside KSC! for July 19, 2019</t>
  </si>
  <si>
    <t>NASA celebrated the 50th anniversary of the Apollo 11 mission by hosting multiple events at Kennedy Space Center.</t>
  </si>
  <si>
    <t>2jsLPPN4EUY</t>
  </si>
  <si>
    <t>2019 07 16</t>
  </si>
  <si>
    <t>https://youtu.be/haXoWZTu6GE</t>
  </si>
  <si>
    <t>NASA Emmy Nomination for Coverage of SpaceX Demo-1 Mission</t>
  </si>
  <si>
    <t>NASA has been nominated by the Academy of Television Arts &amp; Sciences for Outstanding Interactive Program for its coverage of SpaceX’s Demonstration Mission 1 as part of the agency’s Commercial Crew Program. The nomination is a result of years of preparation for the historic launch and multiple live broadcasts from NASA and SpaceX facilities across the country during each phase of the Crew Dragon’s mission to the International Space Station and its stunning return to Earth. Throughout NASA’s coverage, the agency engaged social media users around the world and at local social media influencer gatherings at NASA’s Kennedy Space Center in Florida.</t>
  </si>
  <si>
    <t>haXoWZTu6GE</t>
  </si>
  <si>
    <t>2019 07 12</t>
  </si>
  <si>
    <t>https://youtu.be/esle7bnpwrM</t>
  </si>
  <si>
    <t>Kennedy's Space Station Processing Facility Turns 25</t>
  </si>
  <si>
    <t>Most International Space Station payloads are delivered to Kennedy Space Center's Space Station Processing Facility (SSPF), which has played an integral role in spaceflight for a quarter century.</t>
  </si>
  <si>
    <t>esle7bnpwrM</t>
  </si>
  <si>
    <t>https://youtu.be/v9Gjp65MZj0</t>
  </si>
  <si>
    <t>Inside KSC! for July 12, 2019</t>
  </si>
  <si>
    <t>Exploration Ground Systems conducted a water flow test with the mobile launcher at Launch Complex 39B, reaching a peak flow rate of 1.1 million gallons per minute. Kennedy employees marked the 50th anniversary of the first lunar landing, Apollo 11, while helping those in need during the 2019 Feds Feed Families campaign. This year's theme is "The Moon Lights the Way."</t>
  </si>
  <si>
    <t>v9Gjp65MZj0</t>
  </si>
  <si>
    <t>2019 07 09</t>
  </si>
  <si>
    <t>https://youtu.be/zFve9BrKj7k</t>
  </si>
  <si>
    <t>NASA Conducts Successful Water Flow Test with Mobile Launcher</t>
  </si>
  <si>
    <t>A successful water flow test with the mobile launcher at Kennedy Space Center’s Pad 39B on July 2, 2019, put NASA one step closer to returning astronauts to the Moon by 2024, with the goal of sending humans to Mars. It was the first of nine tests to verify the sound suppression system is ready for launch of NASA’s Space Launch System for the first Artemis mission.
Approximately 450,000 gallons of water was released from an elevated water tank and distributed through large diameter piping and valves to water nozzles located in the Pad B flame deflector, the mobile launcher flame hole and on the launcher’s blast deck in just 45 seconds. That’s enough water to fill 45 residential swimming pools! The system reached a peak flow rate of 1.1 million gallons per minute.</t>
  </si>
  <si>
    <t>zFve9BrKj7k</t>
  </si>
  <si>
    <t>2019 07 08</t>
  </si>
  <si>
    <t>https://youtu.be/orXIxoZs1i0</t>
  </si>
  <si>
    <t>Rocket Ranch Episode 12  From Apollo to Artemis</t>
  </si>
  <si>
    <t>NASA looks back at the Apollo era and ahead at future Artemis missions to the Moon. Check out Episode 12: From Apollo to Artemis, read the full transcript and catch up on missed episodes at https://www.nasa.gov/kennedy/rocketranch.</t>
  </si>
  <si>
    <t>orXIxoZs1i0</t>
  </si>
  <si>
    <t>2019 07 05</t>
  </si>
  <si>
    <t>https://youtu.be/fpJ7MegTLBo</t>
  </si>
  <si>
    <t>Inside KSC! for July 5, 2019</t>
  </si>
  <si>
    <t>This week in space news, the Orion launch abort system is put to the test in a demonstration of its safety capabilities and the mobile launcher makes its final solo journey to Launch Pad 39B – two important milestones in NASA’s preparations for Artemis missions to the Moon.</t>
  </si>
  <si>
    <t>fpJ7MegTLBo</t>
  </si>
  <si>
    <t>2019 07 02</t>
  </si>
  <si>
    <t>https://youtu.be/4rfsDMGplZU</t>
  </si>
  <si>
    <t>NASA’s Ascent Abort-2 Flight Test Launches atop Northrop Grumman Provided Booster</t>
  </si>
  <si>
    <t>A fully functional Launch Abort System (LAS) with a test version of the Orion spacecraft attached, launches on NASA’s Ascent Abort-2 (AA-2) atop a Northrop Grumman provided booster on July 2, 2019, at 7 a.m. EDT, from Launch Pad 46 at Cape Canaveral Air Force Station in Florida. During AA-2, the booster will send the LAS and Orion to an altitude of 31,000 feet at Mach 1.15 (more than 1,000 mph). The flight test will prove that the abort system can pull crew to safety in the unlikely event of an emergency during ascent.</t>
  </si>
  <si>
    <t>4rfsDMGplZU</t>
  </si>
  <si>
    <t>2019 06 28</t>
  </si>
  <si>
    <t>https://youtu.be/q6XjCJGX_fk</t>
  </si>
  <si>
    <t>Inside KSC! for June 28, 2019</t>
  </si>
  <si>
    <t>This week in space news, several NASA payloads launched aboard a SpaceX Falcon Heavy rocket on the Department of Defense's Space Test Program-2 mission. Also, International Docking Adapter 3 was packed into the trunk of the SpaceX Dragon spacecraft ahead of its July launch to the International Space Station on the company's 18th commercial resupply mission.</t>
  </si>
  <si>
    <t>q6XjCJGX_fk</t>
  </si>
  <si>
    <t>2019 06 21</t>
  </si>
  <si>
    <t>https://youtu.be/qFLdcT6Y94M</t>
  </si>
  <si>
    <t>Inside KSC! for June 21, 2019</t>
  </si>
  <si>
    <t>A small CubeSat, called StangSat, created by students at Florida's Merritt Island High School, with support by mentors from Kennedy Space Center, is ready to launch on the upcoming Space Test Program-2 mission. Engineers are prepping the mobile launcher for its next big move atop the crawler-transporter to Launch Pad 39B for a fit check and testing so the ML is ready to support the uncrewed Artemis 1 mission.</t>
  </si>
  <si>
    <t>qFLdcT6Y94M</t>
  </si>
  <si>
    <t>2019 06 14</t>
  </si>
  <si>
    <t>https://youtu.be/VPQgJ5Hr7Is</t>
  </si>
  <si>
    <t>Explore Kennedy Space Center  Pad 39B</t>
  </si>
  <si>
    <t>From Apollo 10 and the Saturn V rocket to Artemis 1 and the Space Launch System, Launch Pad 39B is revamped for the next generation to Explore the Moon and on to Mars. Check in at the Kennedy Space Center and get fired up for launch!</t>
  </si>
  <si>
    <t>VPQgJ5Hr7Is</t>
  </si>
  <si>
    <t>https://youtu.be/hSPgZmAkUgQ</t>
  </si>
  <si>
    <t>Inside KSC! for June 14, 2019</t>
  </si>
  <si>
    <t>This week in space news, Kennedy Space Center employees attended a presentation on how Florida natives affected, and were affected by, Atlantic World events from 1492 to today. Also, Kennedy held its annual Hurricane Awareness Briefing, focusing on preparation being key.</t>
  </si>
  <si>
    <t>hSPgZmAkUgQ</t>
  </si>
  <si>
    <t>2019 06 13</t>
  </si>
  <si>
    <t>https://youtu.be/6t6SG5-AjbA</t>
  </si>
  <si>
    <t>Celebrating Apollo  Explore Humans in Space</t>
  </si>
  <si>
    <t>Exploration is in our DNA – the desire to discover and inhabit distant worlds, whether across Earthly oceans or vast regions of space. It also is critical to the continuation of our species. Humanity must build a path to an Earth-independent existence. Come with us to the place where humans left earth for another world and explore the challenges associated with human space flight.</t>
  </si>
  <si>
    <t>6t6SG5-AjbA</t>
  </si>
  <si>
    <t>2019 06 07</t>
  </si>
  <si>
    <t>https://youtu.be/jPSok86e4FA</t>
  </si>
  <si>
    <t>Inside KSC! for June 7, 2019</t>
  </si>
  <si>
    <t>The United Launch Alliance Atlas V booster for Boeing's Crew Flight Test on the CST-100 Starliner arrived aboard the company's Mariner cargo ship at nearby Cape Canaveral Air Force Station. And Northrop Grumman's abort motor for NASA's Artemis 1 uncrewed test flight arrived at the Launch Abort System Facility for processing.</t>
  </si>
  <si>
    <t>jPSok86e4FA</t>
  </si>
  <si>
    <t>2019 06 04</t>
  </si>
  <si>
    <t>https://youtu.be/8-9amsugSXA</t>
  </si>
  <si>
    <t>Commercial Crew   Springing  into Action</t>
  </si>
  <si>
    <t>Under NASA's Commercial Crew Program, the agency is working with The Boeing Company and SpaceX to launch U.S. astronauts, on a U.S. vehicle from U.S. soil once again. Check out the latest progress on training, testing and assembly throughout the spring as we prepare to return human spaceflight to America.</t>
  </si>
  <si>
    <t>8-9amsugSXA</t>
  </si>
  <si>
    <t>2019 05 31</t>
  </si>
  <si>
    <t>https://youtu.be/sZDv0Zka2Pk</t>
  </si>
  <si>
    <t>Inside KSC! for May 31, 2019</t>
  </si>
  <si>
    <t>NASA senior leaders provided an update on the Exploration campaign, current missions and NASA's operating model initiatives during a Town Hall session at Kennedy Space Center; NASA Administrator Jim Bridenstine gave the keynote address at Florida Tech's Space Technology Day; and Boeing's CST-100 Starliner was put to the test at NASA's White Sands Test Facility in New Mexico.
NASA</t>
  </si>
  <si>
    <t>sZDv0Zka2Pk</t>
  </si>
  <si>
    <t>2019 05 24</t>
  </si>
  <si>
    <t>https://youtu.be/cSGbpZ6hOg0</t>
  </si>
  <si>
    <t>Inside KSC! for May 24, 2019</t>
  </si>
  <si>
    <t>This week in space news, Orion's launch abort system moves to Cape Canaveral Air Force Station's Space Launch Complex 46 to prepare for its upcoming flight test, Ascent Abort-2. Also, Kennedy Space Center hosts the "Apollo - Then and Now" media day in anticipation of the 50th anniversary of the Apollo 11 mission to the Moon.</t>
  </si>
  <si>
    <t>cSGbpZ6hOg0</t>
  </si>
  <si>
    <t>2019 05 20</t>
  </si>
  <si>
    <t>https://youtu.be/GRsrUvgPnvA</t>
  </si>
  <si>
    <t>Kennedy Space Center New Central Campus Building</t>
  </si>
  <si>
    <t>GRsrUvgPnvA</t>
  </si>
  <si>
    <t>2019 05 17</t>
  </si>
  <si>
    <t>https://youtu.be/t9h88z8Sxr8</t>
  </si>
  <si>
    <t>Inside KSC! for May 17, 2019</t>
  </si>
  <si>
    <t>NASA Administrator Jim Bridenstine unveiled the $1.6 billion budget increase for fiscal year 2020 and the Moon 2024 mission to the workforce during an agencywide town hall meeting.  Afterwards, Kennedy Space Center Director Bob Cabana updated the KSC workforce about the NASA budget amendment and how the programs at the center will support the agency's efforts to land humans on the Moon by 2024.</t>
  </si>
  <si>
    <t>t9h88z8Sxr8</t>
  </si>
  <si>
    <t>2019 05 16</t>
  </si>
  <si>
    <t>https://youtu.be/ugxbcl17VpY</t>
  </si>
  <si>
    <t>Rocket Ranch Podcast Episode 10  Gateway</t>
  </si>
  <si>
    <t>NASA’s latest exploration goals center on returning humans to the Moon – not just for a visit, but to stay. At the center of that plan is Gateway. It’s a small lunar outpost that will have living quarters, laboratories for science and research, docking ports for visiting spacecraft, and more.</t>
  </si>
  <si>
    <t>ugxbcl17VpY</t>
  </si>
  <si>
    <t>2019 05 15</t>
  </si>
  <si>
    <t>https://youtu.be/dDMxBg4RWko</t>
  </si>
  <si>
    <t>Safety a Top Priority of NASA's Commercial Crew Program</t>
  </si>
  <si>
    <t>With crewed missions approaching, NASA and commercial companies Boeing and SpaceX view safety as a top priority. As both companies prepare to send humans to the International Space Station, some safety measures taking place include testing flight hardware, preparing for emergency situations and rehearsing crew rescue techniques.
Music Courtesy of Gothic Storm Music</t>
  </si>
  <si>
    <t>dDMxBg4RWko</t>
  </si>
  <si>
    <t>2019 05 10</t>
  </si>
  <si>
    <t>https://youtu.be/enDHztdUpeY</t>
  </si>
  <si>
    <t>Inside KSC! May 10, 2019</t>
  </si>
  <si>
    <t>This week in space news, a SpaceX Dragon spacecraft arrived to the International Space Station after a successful May 4 launch of the company’s 17th Commercial Resupply Services mission. The Falcon 9 rocket lifted off from Cape Canaveral Air Force Station’s Space Launch Complex 40, propelling the Dragon spacecraft – carrying research equipment, cargo and supplies – to the space station. Also, four honorees were distinguished as Chroniclers for their contributions to spreading the news of space exploration during a ceremony May 3 at the Florida spaceport’s NASA News Center.</t>
  </si>
  <si>
    <t>enDHztdUpeY</t>
  </si>
  <si>
    <t>2019 05 09</t>
  </si>
  <si>
    <t>https://youtu.be/7GAFn4JzyO0</t>
  </si>
  <si>
    <t>Explore Kennedy Space Center  Crawler</t>
  </si>
  <si>
    <t>Take a road trip to Explore Kennedy Space Center and get an inside look at the Crawler Transporter 2. Before the SLS does the heavy lifting to get Orion to the Moon in 2024, the Crawler does the heavy lifting here on Earth.
Music Courtesy of Gothic Storm Music</t>
  </si>
  <si>
    <t>7GAFn4JzyO0</t>
  </si>
  <si>
    <t>2019 05 04</t>
  </si>
  <si>
    <t>https://youtu.be/fUJQ1tXyTPs</t>
  </si>
  <si>
    <t>SpaceX CRS-17 Dragon Solar Arrays Deployed</t>
  </si>
  <si>
    <t>Dragon's solar arrays are deployed as the spacecraft begins its journey to the International Space Station on SpaceX's 17th Commercial Resupply Services mission. Liftoff occurred at 2:48 a.m. EST on May 4 from Cape Canaveral Air Force Station's Space Launch Complex 40 in Florida.</t>
  </si>
  <si>
    <t>fUJQ1tXyTPs</t>
  </si>
  <si>
    <t>https://youtu.be/bim4HgqKC2M</t>
  </si>
  <si>
    <t>SpaceX CRS-17 Dragon Spacecraft Separation</t>
  </si>
  <si>
    <t>The SpaceX CRS-17 Dragon spacecraft separated from the company's Falcon 9 rocket as it continues on the 17th Commercial Resupply Services mission to the International Space Station. Liftoff took place at 2:48 a.m. EST at Cape Canaveral Air Force Station's Space Launch Complex 40 in Florida.</t>
  </si>
  <si>
    <t>bim4HgqKC2M</t>
  </si>
  <si>
    <t>https://youtu.be/g5tWIbOnwYY</t>
  </si>
  <si>
    <t>SpaceX Falcon 9 with Dragon Spacecraft Onboard Launches on CRS-17</t>
  </si>
  <si>
    <t>Countdown and liftoff of the SpaceX Falcon 9 rocket with the company's Dragon spacecraft onboard for the company's 17th Commercial Resupply Services mission to the International Space Station. Launch occurred at 2:48 a.m. EST on May 4 from Launch Complex 40 at Cape Canaveral Air Force Station in Florida.</t>
  </si>
  <si>
    <t>g5tWIbOnwYY</t>
  </si>
  <si>
    <t>https://youtu.be/LAaIxR1zwvc</t>
  </si>
  <si>
    <t>Prelaunch Broadcast Begins for Second Attempt of SpaceX CRS-17 Launch</t>
  </si>
  <si>
    <t>At NASA's Kennedy Space Center in Florida, SpaceX's Headquarters in Hawthorne, California, and Mission Control Houston at Johnson Space Center, the live broadcast begins for the second attempt of the SpaceX 17th Commercial Resupply Services mission. Launch is scheduled for 2:48 a.m. EST, May 4, from Launch Complex 40 at Cape Canaveral Air Force Station.</t>
  </si>
  <si>
    <t>LAaIxR1zwvc</t>
  </si>
  <si>
    <t>2019 05 03</t>
  </si>
  <si>
    <t>https://youtu.be/aEpY0dF0hUA</t>
  </si>
  <si>
    <t>Inside KSC! for May 3, 2019</t>
  </si>
  <si>
    <t>A SpaceX Falcon 9 rocket and Dragon spacecraft await launch on the company's 17th commercial resupply mission to the International Space Station, and the engine vertical installer for NASA’s Space Launch System rocket arrives at Kennedy.</t>
  </si>
  <si>
    <t>aEpY0dF0hUA</t>
  </si>
  <si>
    <t>2019 05 01</t>
  </si>
  <si>
    <t>https://youtu.be/2VPdLydFGwk</t>
  </si>
  <si>
    <t>Exploration Research and Technology Spotlight on Daren Etienne</t>
  </si>
  <si>
    <t>Daren Etienne, information technology specialist lead with NASA's Kennedy Space Center's Exploration Research and Technology Programs, supports civil servants, contractors and commercial partners, as they develop new technology that will help the agency go forward to the Moon, Mars and beyond.</t>
  </si>
  <si>
    <t>2VPdLydFGwk</t>
  </si>
  <si>
    <t>2019 04 26</t>
  </si>
  <si>
    <t>https://youtu.be/mP697nB5DzE</t>
  </si>
  <si>
    <t>Inside KSC! April 26, 2019</t>
  </si>
  <si>
    <t>This week in space news, NASA and the Department of Defense conduct at-sea training exercises with the Boeing CST-100 Starliner training capsule. Also, spaceport officials and employees pay tribute to NASA astronaut Owen Garriott, a veteran of two spaceflights, who died April 15 at the age of 88.</t>
  </si>
  <si>
    <t>mP697nB5DzE</t>
  </si>
  <si>
    <t>2019 04 25</t>
  </si>
  <si>
    <t>https://youtu.be/wj-bLgOhAaM</t>
  </si>
  <si>
    <t>NASA's ELaNa-19  Small Satellites, Big Dreams</t>
  </si>
  <si>
    <t>In December 2018, a Rocket Lab Electron rocket launched from remote Mahia Peninsula in New Zealand carrying a NASA payload of 10 small satellites called Educational Launch of Nanosatellites-19 (ELaNa-19). The Electron is one of two vehicles NASA selected for its Venture Class Launch Service, in which small satellites, called CubeSats, fly on rockets designed especially for their needs. In this documentary, learn how the first launch of the Venture Class era demonstrates how the right ride into space can enable the designers of small satellites—from high schools and universities to NASA field centers—to dream big. To launch with ELaNa, visit http://www.nasa.gov/elana.
Music Courtesy of Gothic Storm Music</t>
  </si>
  <si>
    <t>wj-bLgOhAaM</t>
  </si>
  <si>
    <t>2019 04 22</t>
  </si>
  <si>
    <t>https://youtu.be/GYIkDBebyvg</t>
  </si>
  <si>
    <t>NASA KSC Earth Day Message</t>
  </si>
  <si>
    <t>Water is the foundation of life on Earth and researchers at NASA’s Kennedy Space Center are using lessons from Mother Nature to develop methods of purifying water for deep space missions that can be used to clean the water here on Earth. This technology could help eliminate some of the causes of water pollution, harmful algal blooms and fish kills.</t>
  </si>
  <si>
    <t>GYIkDBebyvg</t>
  </si>
  <si>
    <t>2019 04 19</t>
  </si>
  <si>
    <t>https://youtu.be/wRiS_rhYZro</t>
  </si>
  <si>
    <t>Inside KSC! April 19, 2019</t>
  </si>
  <si>
    <t>This week in space news, Launch Director Charlie Blackwell-Thompson led her team in the first countdown simulation of loading cryogenic liquid propellants into the Space Launch System rocket, and the spaceport hosts a sustainability expo during its annual Earth Day celebration. Also, the 2019 Chief Technologist Innovation Call, "Innovation Without Boundaries," is now open. NASA civil servant and contractor employees can submit their most innovative ideas with a chance to earn cash rewards.</t>
  </si>
  <si>
    <t>wRiS_rhYZro</t>
  </si>
  <si>
    <t>2019 04 18</t>
  </si>
  <si>
    <t>https://youtu.be/nG_SHTY_zdY</t>
  </si>
  <si>
    <t>Gateway at Kennedy Space Center</t>
  </si>
  <si>
    <t>NASA’s latest exploration goals center on returning humans to the Moon –not just for a visit, but to stay. At the center of that plan is Gateway. It’s a small lunar outpost that will have living quarters, laboratories for science and research, docking ports for visiting spacecraft, and more. It will be a collaboration with NASA, international partners and commercial companies alike. Kennedy has been handed a piece of the puzzle and will leverage the expertise already at the space center to lead the logistics team for Gateway.
Music courtesy of "Gothic Storm Music."</t>
  </si>
  <si>
    <t>nG_SHTY_zdY</t>
  </si>
  <si>
    <t>2019 04 12</t>
  </si>
  <si>
    <t>https://youtu.be/Cx8Dd9YQmm4</t>
  </si>
  <si>
    <t>Inside KSC! April 12, 2019</t>
  </si>
  <si>
    <t>This week in space news, Florida Lt. Governor Jeanette Nunez toured Kennedy Space Center's Neil Armstrong Operations and Checkout Building. During the tour, Nunez was shown NASA's Orion spacecraft, which will be flown on the agency's uncrewed Exploration-Mission 1 (EM-1) and crewed EM-2. Also, former astronauts Jim Buchli and Janet Kavandi were inducted into the U.S. Astronaut Hall of Fame during a ceremony held inside the Space Shuttle Atlantis attraction at Kennedy's visitor complex.</t>
  </si>
  <si>
    <t>Cx8Dd9YQmm4</t>
  </si>
  <si>
    <t>2019 04 06</t>
  </si>
  <si>
    <t>https://youtu.be/bYuxNoSMZ2w</t>
  </si>
  <si>
    <t>2019 Astronaut Hall of Fame Induction Ceremony</t>
  </si>
  <si>
    <t>Former astronauts Jim Buchli and Janet Kavandi are inducted into the U.S. Astronaut Hall of Fame Class of 2019 during a ceremony on April 6, 2019, inside the Space Shuttle Atlantis attraction at NASA’s Kennedy Space Center Visitor Complex in Florida.</t>
  </si>
  <si>
    <t>bYuxNoSMZ2w</t>
  </si>
  <si>
    <t>2019 04 05</t>
  </si>
  <si>
    <t>https://youtu.be/nTyK2OiRmN8</t>
  </si>
  <si>
    <t>Rocket Ranch Podcast Episode 9  Developing Technology</t>
  </si>
  <si>
    <t>NASA has a reputation for creating history changing technology, and much of that technology is available to you right now. One of our secrets to success is that we aren’t developing all of this by ourselves. We’re leveraging industry and students to make innovative leaps.</t>
  </si>
  <si>
    <t>nTyK2OiRmN8</t>
  </si>
  <si>
    <t>https://youtu.be/NP-aQNZCHrE</t>
  </si>
  <si>
    <t>Inside KSC! April 5, 2019</t>
  </si>
  <si>
    <t>Kennedy Space Center Director Bob Cabana provided an update on the center’s accomplishments and future plans to community leaders and stakeholders in the Center for Space Education at nearby Kennedy Space Center Visitor Complex. And Kennedy Space Center employees and guests were on the move during the annual Tour de KSC cycling event as they bicycled around scenic routes at the center.</t>
  </si>
  <si>
    <t>NP-aQNZCHrE</t>
  </si>
  <si>
    <t>2019 04 03</t>
  </si>
  <si>
    <t>https://youtu.be/LcBdovHgwaE</t>
  </si>
  <si>
    <t>Explore Kennedy Space Center  Plant Research Lab</t>
  </si>
  <si>
    <t>What will astronauts eat on extended trips into space? Dig in at the Plant Research Lab at Kennedy Space Center, our nation’s premier multi-user spaceport. Find out why NASA is experimenting with different ways to grow veggies in low gravity.
Music Courtesy of Gothic Storm Music</t>
  </si>
  <si>
    <t>LcBdovHgwaE</t>
  </si>
  <si>
    <t>2019 04 02</t>
  </si>
  <si>
    <t>https://youtu.be/ppNFTk-XNxY</t>
  </si>
  <si>
    <t>2019 Director's Update - Kennedy Space Center</t>
  </si>
  <si>
    <t>This video was shown during Kennedy Space Center Director Bob Cabana's update to community leaders and stakeholders on March 29, 2019 at the Kennedy Space Center Visitor Complex. The presentation included a recap of accomplishments and future plans for Kennedy-led programs including Commercial Crew Program, Launch Services Program, Exploration Ground Systems, Exploration Research and Technlology and Center Planning and Development.
Music Courtesy of Gothic Storm Music</t>
  </si>
  <si>
    <t>ppNFTk-XNxY</t>
  </si>
  <si>
    <t>2019 03 29</t>
  </si>
  <si>
    <t>https://youtu.be/7vh17Z683Mg</t>
  </si>
  <si>
    <t>Inside KSC! March 29, 2019</t>
  </si>
  <si>
    <t>This week, NASA astronauts had the chance to train inside a prototype space habitat, and spaceport employees and their guests celebrated safety and health during the annual KSC Walk Run.</t>
  </si>
  <si>
    <t>7vh17Z683Mg</t>
  </si>
  <si>
    <t>2019 03 22</t>
  </si>
  <si>
    <t>https://youtu.be/kfbIQAPw33c</t>
  </si>
  <si>
    <t>Inside KSC! March 22, 2019</t>
  </si>
  <si>
    <t>This week in space news, NASA and Lockheed Martin conducted a guppy fit check to ensure NASA’s Orion crew module and the European Service Module fits inside the Super Guppy aircraft when it travels to NASA’s Plum Brook Station in Sandusky, Ohio. Also, U.S. Sen. Rick Scott visited the multi-user spaceport to attend a roundtable discussion with Center Director Bob Cabana and center partners. The meeting was held to discuss the needs at Kennedy and Cape Canaveral Air Force Station.</t>
  </si>
  <si>
    <t>kfbIQAPw33c</t>
  </si>
  <si>
    <t>https://youtu.be/0ZvbB2PhSnY</t>
  </si>
  <si>
    <t>OSCAR Drop Test</t>
  </si>
  <si>
    <t>Anne Meier, OSCAR team lead at NASA's Kennedy Space Center, and Evan Bell, a member of the OSCAR team, talk about the Orbital Syngas/Commodity Augmentation Reactor (OSCAR) project as it goes through a drop test, which is part of the process of qualifying a payload for space. OSCAR is a technology that could enable deep space exploration, by turning trash into usable supplies like methane. Learn more about OSCAR as Dr. Anne Meier talks about it on NASA's Kennedy Space Center Rocket Ranch podcast at https://www.nasa.gov/mediacast/episode-7-turning-space-trash-into-gas</t>
  </si>
  <si>
    <t>0ZvbB2PhSnY</t>
  </si>
  <si>
    <t>2019 03 15</t>
  </si>
  <si>
    <t>https://youtu.be/p2Jwm56S8uk</t>
  </si>
  <si>
    <t>Inside KSC! March 15, 2019</t>
  </si>
  <si>
    <t>This week in space news, NASA Administrator Jim Bridenstine and Kennedy Space Center Director Bob Cabana addressed NASA workers across the nation in a Moon to Mars event. The address followed President Trump's fiscal year 2020 budget proposal to the U.S. Congress. And SpaceX's Crew Dragon spacecraft arrived in Port Canaveral aboard the company's recovery ship, Go Searcher, after the Demo-1 mission to the International Space Station.</t>
  </si>
  <si>
    <t>p2Jwm56S8uk</t>
  </si>
  <si>
    <t>2019 03 12</t>
  </si>
  <si>
    <t>https://youtu.be/YxOpu4vjCO0</t>
  </si>
  <si>
    <t>Women Engineers  Carla Koch</t>
  </si>
  <si>
    <t>NASA celebrates Women's History Month with Carla Koch, Landing and Recovery development project manager for the Exploration Ground Systems Program, who started working at Kennedy Space Center right out of college. Watch to learn more about Carla's background and her experiences working at Kennedy.</t>
  </si>
  <si>
    <t>YxOpu4vjCO0</t>
  </si>
  <si>
    <t>2019 03 11</t>
  </si>
  <si>
    <t>https://youtu.be/iE1BoaqJ3sc</t>
  </si>
  <si>
    <t>NASA Administrator Jim Bridenstine Addresses Moon to Mars Plans, Fiscal Year 2020 Budget</t>
  </si>
  <si>
    <t>NASA Administrator Jim Bridenstine addresses the agency's workforce and members of the media at Kennedy Space Center's Neil Armstrong Operations and Checkout Building, reviewing the agency's Moon to Mars plans and President Trump's Fiscal Year 2020 NASA budget. The budget represents a nearly six percent increase over last year's request and further supports the agency's Moon to Mars initiative.</t>
  </si>
  <si>
    <t>iE1BoaqJ3sc</t>
  </si>
  <si>
    <t>2019 03 08</t>
  </si>
  <si>
    <t>https://youtu.be/wS_rrISakwM</t>
  </si>
  <si>
    <t>Rocket Ranch Episode 8  Commercial Crew Program</t>
  </si>
  <si>
    <t>The Commercial Crew Program kicked off 2019 with the launch of SpaceX’s Crew Dragon for the Demo-1 mission. On this episode of Rocket Ranch we catch up with several members of Commercial Crew to talk about the past, present and future of the program. We also explore their personal stories on their path to NASA and roles in helping to launch America into the future of human spaceflight.</t>
  </si>
  <si>
    <t>wS_rrISakwM</t>
  </si>
  <si>
    <t>https://youtu.be/QBxLnu_ORRQ</t>
  </si>
  <si>
    <t>Inside KSC! March 8, 2019</t>
  </si>
  <si>
    <t>SpaceX launched its Crew Dragon atop the Falcon 9 rocket at 2:49 a.m. Eastern on Saturday, March 2, from Launch Complex 39A at Kennedy Space Center. Crew Dragon’s destination – the International Space Station. The mission, called Demo-1, is the first flight test of a space system designed for humans built and operated by a commercial company for NASA’s Commercial Crew Program.</t>
  </si>
  <si>
    <t>QBxLnu_ORRQ</t>
  </si>
  <si>
    <t>https://youtu.be/UGosxzELR4Y</t>
  </si>
  <si>
    <t>Inside KSC! Feb. 28, 2019</t>
  </si>
  <si>
    <t>This week in space news, NASA and SpaceX announced their plan to move forward with the uncrewed Demo-1 test flight to the International Space Station, which will lift off from Kennedy Space Center's Launch Complex 39A on Saturday, March 2. Also this week, submit original artwork depicting what the future of space looks like to you for a chance to have it displayed on a wall in the Astronaut Crew Quarters at Kennedy.</t>
  </si>
  <si>
    <t>UGosxzELR4Y</t>
  </si>
  <si>
    <t>https://youtu.be/CZQ1RQcb7E8</t>
  </si>
  <si>
    <t>Women Engineers  Courtney Stern</t>
  </si>
  <si>
    <t>NASA celebrates Women's History Month with Courtney Stern, NASA lead operations engineer for Orion Landing and Recovery. Courtney has been working for NASA for almost 20 years and began her journey as a summer intern after graduating high school. Watch to learn more about Courtney's experiences in her career and her advice to others. 
Music courtesy of "Gothic Storm Music"</t>
  </si>
  <si>
    <t>CZQ1RQcb7E8</t>
  </si>
  <si>
    <t>2019 03 06</t>
  </si>
  <si>
    <t>https://youtu.be/Qt2mBaZnhyU</t>
  </si>
  <si>
    <t>Explore Kennedy Space Center  VAB</t>
  </si>
  <si>
    <t>It’s one of the largest buildings in the world! Check in at the Kennedy Space Center and explore inside the Vehicle Assembly Building, commonly called the VAB. Once home to the Saturn rockets and the Space Shuttle, find out what big things are stacking up for NASA’s next missions.
Music Courtesy of Gothic Storm Music</t>
  </si>
  <si>
    <t>Qt2mBaZnhyU</t>
  </si>
  <si>
    <t>2019 03 05</t>
  </si>
  <si>
    <t>https://youtu.be/4IaAyfM9cdE</t>
  </si>
  <si>
    <t>Did You Know  Launch Pad 39B</t>
  </si>
  <si>
    <t>Some key facts about Kennedy Space Center's Launch Pad 39B, which has received several major upgrades.</t>
  </si>
  <si>
    <t>4IaAyfM9cdE</t>
  </si>
  <si>
    <t>2019 03 04</t>
  </si>
  <si>
    <t>https://youtu.be/Y8zChtFl4Bc</t>
  </si>
  <si>
    <t>Live Coverage of SpaceX Crew Dragon’s First Launch on Demo-1 Mission</t>
  </si>
  <si>
    <t>NASA and SpaceX teamed up to bring comprehensive coverage on launch day events, preparation and the mission expectations for the uncrewed first launch of SpaceX’s Crew Dragon on a flight test to the International Space Station. Coverage occurred from NASA’s Kennedy Space Center on the east coast of Florida and SpaceX’s headquarters in Hawthorne, CA. Launch occurred at 2:49 a.m. EST on Saturday, March 2 from historic Launch Complex 39A at the Kennedy Space Center. To download, go to: https://images.nasa.gov/details-KSC-20190228-VP-MMS01-0001-SpaceX_Demo-1_NASA_Social-3212792.html</t>
  </si>
  <si>
    <t>Y8zChtFl4Bc</t>
  </si>
  <si>
    <t>https://youtu.be/elBjfTppqlw</t>
  </si>
  <si>
    <t>Did You Know  Mobile Launcher</t>
  </si>
  <si>
    <t>Some fun facts about Kennedy Space Center's mobile launcher, which will help launch us to the Moon and Mars.</t>
  </si>
  <si>
    <t>elBjfTppqlw</t>
  </si>
  <si>
    <t>https://youtu.be/4n4mW2lzaJE</t>
  </si>
  <si>
    <t>Did You Know  The Launch Control Center</t>
  </si>
  <si>
    <t>Some fun facts about Kennedy Space Center's Launch Control Center, which dates back to the Apollo Program.</t>
  </si>
  <si>
    <t>4n4mW2lzaJE</t>
  </si>
  <si>
    <t>2019 03 02</t>
  </si>
  <si>
    <t>https://youtu.be/Jn5JaJRHwbQ</t>
  </si>
  <si>
    <t>NASA Administrator Jim Bridenstine Demo-1 Interview</t>
  </si>
  <si>
    <t>NASA Administrator Jim Bridenstine is interviewed before the launch of the SpaceX Falcon 9 rocket with the Crew Dragon onboard for Demo-1, the first uncrewed flight test by SpaceX under NASA’s Commercial Crew Program. Launch was at 2:49 a.m. EST on March 2, from Launch Complex 39A at the agency’s Kennedy Space Center in Florida.</t>
  </si>
  <si>
    <t>Jn5JaJRHwbQ</t>
  </si>
  <si>
    <t>https://youtu.be/crjBOXPN9FY</t>
  </si>
  <si>
    <t>Crew Dragon Separates from Space X Falcon 9 Second Stage</t>
  </si>
  <si>
    <t>The SpaceX Crew Dragon separates from the second stage of the company’s Falcon 9 rocket and is on its way to the International Space Station. The test flight, called Demo-1, is the first time a commercially built and operated American spacecraft designed for humans will dock to the space station. Launch occurred at 2:49 a.m. EST on March 2, from Launch Complex 39A at NASA’s Kennedy Space Center in Florida.</t>
  </si>
  <si>
    <t>crjBOXPN9FY</t>
  </si>
  <si>
    <t>https://youtu.be/SBj2KsnAKb4</t>
  </si>
  <si>
    <t>SpaceX Falcon 9 with Crew Dragon Onboard Launches on Demo-1</t>
  </si>
  <si>
    <t>Countdown and liftoff of the SpaceX Falcon 9 rocket with the company's Crew Dragon onboard on Demo-1, the first uncrewed flight test of the Crew Dragon spacecraft. Launch was at 2:49 a.m. EST on March 2, from Launch Complex 39A at NASA’s Kennedy Space Center in Florida. Demo-1 is the first time a commercially built and operated American spacecraft designed for humans will dock to the International Space Station.</t>
  </si>
  <si>
    <t>SBj2KsnAKb4</t>
  </si>
  <si>
    <t>https://youtu.be/cNKaM7KVj7Q</t>
  </si>
  <si>
    <t>Prelaunch Broadcast Begins for SpaceX Demo-1</t>
  </si>
  <si>
    <t>At SpaceX’s Headquarters in Hawthorne, California, and NASA’s Kennedy Space Center in Florida, the live broadcast begins for the SpaceX Demo-1 flight test of the Crew Dragon spacecraft aboard a Falcon 9 rocket on a mission to the International Space Station. Launch is scheduled for 2:49 a.m. EST, March 2, from Launch Complex 39A. Demo-1 is the first uncrewed flight test by SpaceX under NASA’s Commercial Crew Program.</t>
  </si>
  <si>
    <t>cNKaM7KVj7Q</t>
  </si>
  <si>
    <t>https://youtu.be/Q5aT0BLbgMQ</t>
  </si>
  <si>
    <t>NASA Administrator, Astronauts Talk about Historic First Flight of SpaceX Crew Dragon</t>
  </si>
  <si>
    <t>NASA Administrator Jim Bridenstine and NASA astronauts assigned to the fly on future SpaceX Crew Dragon missions answered questions from reporters on the eve of the uncrewed launch of its spacecraft on a Falcon 9 rocket, the first launch of a space system designed for humans built and operated by a commercial company through a public-private partnership, on a flight test to the International Space Station. NASA astronauts Bob Behnken and Doug Hurley, assigned to the first flight test with crew, Demo-2, and NASA astronauts Victor Glover and Mike Hopkins, assigned to the first SpaceX Crew operational mission, Dragon-1, shared their thoughts with media about this uncrewed flight test in preparation for their eventual missions on the Crew Dragon. Launch is set for 2:49 a.m. EST on Saturday, March 2 from Launch Complex 39A at the Kennedy Space Center.</t>
  </si>
  <si>
    <t>Q5aT0BLbgMQ</t>
  </si>
  <si>
    <t>2019 02 28</t>
  </si>
  <si>
    <t>https://youtu.be/m9-QlQTou9U</t>
  </si>
  <si>
    <t>Path to the Pad</t>
  </si>
  <si>
    <t>Exploration Ground Systems at NASA's Kennedy Space Center is preparing the facilities and ground support equipment necessary for the launch of the agency's Space Launch System rocket and Orion spacecraft on Exploration Mission-1 and subsequent missions.</t>
  </si>
  <si>
    <t>m9-QlQTou9U</t>
  </si>
  <si>
    <t>2019 02 22</t>
  </si>
  <si>
    <t>https://youtu.be/nBXuIUTiKTE</t>
  </si>
  <si>
    <t>Inside KSC! Feb. 22, 2019</t>
  </si>
  <si>
    <t>This week in space news, NASA, United Launch Alliance, Boeing and Department of Defense personnel conducted a successful Integrated Crew Exercise. The mission is over for NASA’s Opportunity rover, which built a foundation for future exploration of the Red Planet. And engineers at Kennedy and throughout NASA celebrated Engineers Week.</t>
  </si>
  <si>
    <t>nBXuIUTiKTE</t>
  </si>
  <si>
    <t>2019 02 15</t>
  </si>
  <si>
    <t>https://youtu.be/4fv12NUZhd0</t>
  </si>
  <si>
    <t>Inside KSC! Feb. 15, 2019</t>
  </si>
  <si>
    <t>This week in space news, NASA announced plans to work with American companies to design and develop new reusable systems for astronauts to land on the Moon's surface. Inside Kennedy Space Center's Launch Abort System Facility, workers assembled the Orion Launch Abort system that will be used for a full stress test called Ascent Abort-2.</t>
  </si>
  <si>
    <t>4fv12NUZhd0</t>
  </si>
  <si>
    <t>2019 02 14</t>
  </si>
  <si>
    <t>https://youtu.be/6Y1N37rciGk</t>
  </si>
  <si>
    <t>Space Zinnias  From the Space Station to Earth</t>
  </si>
  <si>
    <t>6Y1N37rciGk</t>
  </si>
  <si>
    <t>2019 02 08</t>
  </si>
  <si>
    <t>https://youtu.be/UemJoUu6pyc</t>
  </si>
  <si>
    <t>Inside KSC! Feb. 8, 2019</t>
  </si>
  <si>
    <t>This week in space news, Kennedy Space Center employees and guests honored fallen astronauts during the Annual Day of Remembrance ceremony at the Kennedy Visitor Complex. Also this week, SpaceX announced a new target date for their uncrewed Demo-1 test flight. Under NASA's Commercial Crew Program, this test flight will be the first step toward returning human spaceflight to the U.S. as the next launch will be a flight test with crew on board.</t>
  </si>
  <si>
    <t>UemJoUu6pyc</t>
  </si>
  <si>
    <t>https://youtu.be/9GwU8O8wfpQ</t>
  </si>
  <si>
    <t>NASA’s Launch Services Program  The Common Thread</t>
  </si>
  <si>
    <t>NASA’s Launch Services Program unites scientific and robotic spacecraft customers’ needs with the appropriate rocket, helping ensure the spacecraft is placed in orbit around the Earth, the Sun or powered to destinations deeper into the solar system.</t>
  </si>
  <si>
    <t>9GwU8O8wfpQ</t>
  </si>
  <si>
    <t>2019 02 01</t>
  </si>
  <si>
    <t>https://youtu.be/GrLRalLdMbw</t>
  </si>
  <si>
    <t>Inside KSC! Feb. 1, 2019</t>
  </si>
  <si>
    <t>This week in space news, the engines of a SpaceX Falcon 9 rocket recently roared to life at NASA’s Kennedy Space Center in a brief static firing in preparation for the uncrewed Demo-1 mission. This will be the first uncrewed mission of the company’s Crew Dragon spacecraft. NASA astronaut Mike Fincke joined the agency’s Nicole Mann and Boeing’s Chris Ferguson for first crewed flight of the Boeing CST-100 Starliner.</t>
  </si>
  <si>
    <t>GrLRalLdMbw</t>
  </si>
  <si>
    <t>2018 12 21</t>
  </si>
  <si>
    <t>https://youtu.be/MrnIY-q0x70</t>
  </si>
  <si>
    <t>Inside KSC! Dec. 21, 2018</t>
  </si>
  <si>
    <t>This week in space news, Kennedy Space Center engineers and managers completed their first terminal countdown demonstration for Exploration Mission-1. 
NASA partnered with Rocket Lab to launch 13 CubeSats into space. And Vice President Mike Pence addressed U.S. space policy and praised local Air Force personnel during a visit to Kennedy Space Center.  (“Jingle Bells” song courtesy of Gothic Storm Music)</t>
  </si>
  <si>
    <t>MrnIY-q0x70</t>
  </si>
  <si>
    <t>https://youtu.be/d8I3PnPljeE</t>
  </si>
  <si>
    <t>Astronaut meets OSCAR – a device that can turn trash into gas</t>
  </si>
  <si>
    <t>Anne Meier, OSCAR team lead at NASA's Kennedy Space Center, tells NASA Astronaut Shane Kimbrough about the Orbital Syngas/Commodity Augmentation Reactor (OSCAR) project. OSCAR is a technology that could enable deep space exploration, by turning trash into usable supplies like methane. Learn more about OSCAR as Dr. Anne Meier talks about it on NASA's Kennedy Space Center Rocket Ranch podcast. https://www.nasa.gov/mediacast/episode-7-turning-space-gas-into-trash</t>
  </si>
  <si>
    <t>d8I3PnPljeE</t>
  </si>
  <si>
    <t>https://youtu.be/2Pyd_ZfpxsA</t>
  </si>
  <si>
    <t>Commercial Crew  Prepare For Launch</t>
  </si>
  <si>
    <t>NASA’s Commercial Crew Program and private industry partners, Boeing and SpaceX, will make history in 2019 with the return of human spaceflight launches to the International Space Station from U.S. soil. Get ready for the rocket rumble!
Music Courtesy of Gothic Storm Music</t>
  </si>
  <si>
    <t>2Pyd_ZfpxsA</t>
  </si>
  <si>
    <t>2018 12 18</t>
  </si>
  <si>
    <t>https://youtu.be/T7Iu_yXtbPQ</t>
  </si>
  <si>
    <t>Explore Kennedy Space Center  Mobile Launcher</t>
  </si>
  <si>
    <t>Check in at Kennedy Space Center, our nation’s premier multi-user spaceport and take a closer look at the Mobile Launcher. This moving platform will be used to launch astronauts farther into space than ever before on the exploration class Space Launch System rocket and Orion crew capsule.
Music Courtesy of Gothic Storm Music</t>
  </si>
  <si>
    <t>T7Iu_yXtbPQ</t>
  </si>
  <si>
    <t>2018 12 14</t>
  </si>
  <si>
    <t>https://youtu.be/qNhXhov8zkk</t>
  </si>
  <si>
    <t>Inside KSC! Dec. 14, 2018</t>
  </si>
  <si>
    <t>In space news this week, the United Launch Alliance Atlas V first stage booster that will help launch a Boeing CST-100 Starliner spacecraft in March arrived at Cape Canaveral Air Force Station and was trucked to ULA's Atlas Spaceflight Operations Center. Kennedy Space Center Director Bob Cabana led a panel discussion with his STS-88 crewmates to mark the 20th anniversary of ISS assembly.</t>
  </si>
  <si>
    <t>qNhXhov8zkk</t>
  </si>
  <si>
    <t>2018 12 10</t>
  </si>
  <si>
    <t>https://youtu.be/_gN00Rfof8k</t>
  </si>
  <si>
    <t>Small Satellites, First-Class Ride  ELaNa 19</t>
  </si>
  <si>
    <t>NASA’s first Venture Class launch is flying on the Rocket Lab Electron. On board, the Educational Launch of Nanosatellites-19 payload – 10 small satellites – are ready for their first-class ride into space.</t>
  </si>
  <si>
    <t>_gN00Rfof8k</t>
  </si>
  <si>
    <t>https://youtu.be/7JRmqth1MQM</t>
  </si>
  <si>
    <t>Engineering The Future Today</t>
  </si>
  <si>
    <t>Kennedy Space Center Engineers are Engineering the future today! Check out this video to learn how  the Engineers of Kennedy Space center are performing the impossible while supporting NASA’s deep space exploration goals.</t>
  </si>
  <si>
    <t>7JRmqth1MQM</t>
  </si>
  <si>
    <t>2018 12 07</t>
  </si>
  <si>
    <t>https://youtu.be/v6NiVc4qbxI</t>
  </si>
  <si>
    <t>Inside KSC! for Dec. 7, 2018</t>
  </si>
  <si>
    <t>A SpaceX Falcon 9 rocket and Dragon spacecraft launch on the company's 16th commercial resupply mission to the International Space Station, and ten CubeSats are prepared for their first-class ride into space aboard Rocket Lab USA's Electron rocket.</t>
  </si>
  <si>
    <t>v6NiVc4qbxI</t>
  </si>
  <si>
    <t>2018 12 05</t>
  </si>
  <si>
    <t>https://youtu.be/8OqyWz5iVF0</t>
  </si>
  <si>
    <t>Dragon SpaceX CRS-16 Spacecraft Separation</t>
  </si>
  <si>
    <t>The SpaceX CRS-16 Dragon spacecraft separated from the SpaceX rocket Falcon 9 rocket as it continues on the 16th commercial resupply services mission to the International Space Station. Liftoff took place at Cape Canaveral Air Force Station's Space Launch Complex 40 at 1:16 p.m. EST.</t>
  </si>
  <si>
    <t>8OqyWz5iVF0</t>
  </si>
  <si>
    <t>https://youtu.be/58_WKnjqYOo</t>
  </si>
  <si>
    <t>SpaceX CRS-16 Liftoff</t>
  </si>
  <si>
    <t>The SpaceX CRS-16 Falcon 9 rocket lifts off from Launch Complex 40 at Cape Canaveral Air Force Station, sending a Dragon spacecraft on the company's 16th commercial resupply services mission to the International Space Station. Liftoff was at 1:16 p.m. EST.</t>
  </si>
  <si>
    <t>58_WKnjqYOo</t>
  </si>
  <si>
    <t>https://youtu.be/6VgtqBsQsdQ</t>
  </si>
  <si>
    <t>Space X CRS-16 Countdown Underway</t>
  </si>
  <si>
    <t>At Cape Canaveral Air Force Station, a SpaceX Falcon 9 rocket stands ready to boost a Dragon spacecraft from Launch Complex 39A on the company's 15th commercial resupply services mission to deliver equipment and supplies to the International Space Station.</t>
  </si>
  <si>
    <t>6VgtqBsQsdQ</t>
  </si>
  <si>
    <t>2018 12 03</t>
  </si>
  <si>
    <t>https://youtu.be/0EJqfWMuOAQ</t>
  </si>
  <si>
    <t>Venture Class Rockets  First Class Flights for CubeSats</t>
  </si>
  <si>
    <t>For years, tiny CubeSat satellites could only fly into space as hitchhikers, riding along with larger, primary payloads. Now, thanks to Venture Class Launch Services, these small packages of big science are getting their own rides into space on dedicated rockets -- and on their own terms. Rocket Lab USA of Huntington Beach, California, and Virgin Orbit of Long Beach, California, are the two companies poised to propel CubeSats from coach class to first class. Music Courtesy of Gothic Storm Music.</t>
  </si>
  <si>
    <t>0EJqfWMuOAQ</t>
  </si>
  <si>
    <t>2018 11 30</t>
  </si>
  <si>
    <t>https://youtu.be/ApG9abfohW4</t>
  </si>
  <si>
    <t>Inside KSC! Nov. 30, 2018</t>
  </si>
  <si>
    <t>NASA's InSight lander successfully touched down on Mars and will begin its two-year mission to study the Red Planet's deep interior. Also, Boeing's CST-100 Starliner spacecraft, which will fly astronauts to the International Space Station in NASA's Commercial Crew Program, arrived at Boeing's testing facilities in El Segundo, Calif.</t>
  </si>
  <si>
    <t>ApG9abfohW4</t>
  </si>
  <si>
    <t>2018 11 26</t>
  </si>
  <si>
    <t>https://youtu.be/-Rp1As2v63Y</t>
  </si>
  <si>
    <t>Inside KSC! for Nov. 21, 2018</t>
  </si>
  <si>
    <t>NASA held a “Powering Exploration Mission-1” ceremony in the high bay of the Neil Armstrong Operations and Checkout Building on Nov. 16, 2018, to mark a major milestone, the arrival of the European Service Module for the first test flight of Orion atop the Space Launch System rocket. Several members of the center’s Emergency Response Team competed and placed second overall in this year’s SWAT Roundup International, held in Orlando last week. And in Commercial Crew Program news, the SpaceX Falcon 9 Demo-1 uncrewed flight test will lift off from Launch Pad 39A on Jan. 7, 2019.</t>
  </si>
  <si>
    <t>-Rp1As2v63Y</t>
  </si>
  <si>
    <t>2018 11 20</t>
  </si>
  <si>
    <t>https://youtu.be/S42s1s3U77A</t>
  </si>
  <si>
    <t>InSight Countdown to T-Zero  Lander to Study the 'Inner Space' of Mars</t>
  </si>
  <si>
    <t>NASA's InSight mission will be the first to study the Red Planet's deep interior. InSight, which stands for Interior Exploration using Seismic Investigations, Geodesy and Heat Transport, launched May 5, 2018 from Cape Canaveral Air Force Station in Florida aboard a United Launch Alliance Atlas V rocket. Learn more at: https://www.nasa.gov/insight</t>
  </si>
  <si>
    <t>S42s1s3U77A</t>
  </si>
  <si>
    <t>https://youtu.be/nrjdAoXgb-M</t>
  </si>
  <si>
    <t>Rocket Ranch Podcast E06  Starting Up the Space Station</t>
  </si>
  <si>
    <t>In this episode, we sit down with the Space Shuttle commander who officially began construction of the ISS in space. Former astronaut Bob Cabana recounts his experiences in being the first American on station and turning on the lights.</t>
  </si>
  <si>
    <t>nrjdAoXgb-M</t>
  </si>
  <si>
    <t>2018 11 16</t>
  </si>
  <si>
    <t>https://youtu.be/iV3JcebcsJM</t>
  </si>
  <si>
    <t>Inside KSC! for Nov. 16, 2018</t>
  </si>
  <si>
    <t>This week in space news, the recently arrived European Service Module -- the powerhouse for the Orion spacecraft -- was unpacked and moved into the high bay in Kennedy Space Center's Neil Armstrong Operations and Checkout Building to begin processing for Exploration Mission-1. Also, launch teams from Boeing, United Launch Alliance and NASA successfully completed an integrated simulation for the first flight of the CST-100 Starliner spacecraft aboard an Atlas V rocket.</t>
  </si>
  <si>
    <t>iV3JcebcsJM</t>
  </si>
  <si>
    <t>2018 11 14</t>
  </si>
  <si>
    <t>https://youtu.be/PpQypUuVBL8</t>
  </si>
  <si>
    <t>Kennedy Space Center, Explore Partnerships</t>
  </si>
  <si>
    <t>NASA's Kennedy Space Center in Florida, is a world premier multi-user spaceport with more than 250 active partnership agreements with industry, academia and government agencies. The partnerships are coordinated by the Center Planning and Development Directorate at the center.</t>
  </si>
  <si>
    <t>PpQypUuVBL8</t>
  </si>
  <si>
    <t>2018 11 09</t>
  </si>
  <si>
    <t>https://youtu.be/WP-1JgYvxLI</t>
  </si>
  <si>
    <t>Inside KSC! for Nov. 9, 2018</t>
  </si>
  <si>
    <t>This week in space news, after a week at sea, Exploration Ground Systems' Landing and Recovery Team is one step closer to being ready to recover the Orion spacecraft and astronauts on board after future deep space exploration missions. And the powerhouse for the Orion spacecraft, the European Service Module, has arrived at Kennedy from Bremen, Germany.</t>
  </si>
  <si>
    <t>WP-1JgYvxLI</t>
  </si>
  <si>
    <t>2018 11 02</t>
  </si>
  <si>
    <t>https://youtu.be/HFVXgl4SKz4</t>
  </si>
  <si>
    <t>Aerial Drone Footage Captures Recovery Test at Sunset</t>
  </si>
  <si>
    <t>Check out this incredible aerial view of NASA’s Recovery Team and the US Navy practicing recovering a test version of the Orion crew capsule after it splashes down. Underway Recovery Test-7 is one in a series of tests to verify and validate procedures and hardware that will be used to recover the Orion spacecraft after it splashes down in the Pacific Ocean following deep space exploration missions.</t>
  </si>
  <si>
    <t>HFVXgl4SKz4</t>
  </si>
  <si>
    <t>https://youtu.be/uUwGGAIXxpg</t>
  </si>
  <si>
    <t>Inside KSC! for Nov. 2, 2018</t>
  </si>
  <si>
    <t>Teams from NASA, the Department of Defense Human Space Flight Support Office, and SpaceX recently rehearsed medical triage and evacuation in preparation for Commercial Crew Program launches from American soil. Also, NASA's Exploration Ground Systems kicked off a week of Orion recovery testing off the California coast.</t>
  </si>
  <si>
    <t>uUwGGAIXxpg</t>
  </si>
  <si>
    <t>2018 10 26</t>
  </si>
  <si>
    <t>https://youtu.be/8dtd85YKkAs</t>
  </si>
  <si>
    <t>Inside KSC! for Oct. 26, 2018</t>
  </si>
  <si>
    <t>This week at Kennedy, the Northrop Grumman L-1011 Stargazer aircraft recently arrived at the Cape Canaveral Force Station Skid Strip in Florida, with the Pegasus XL rocket attached beneath it. NASA's Ionospheric Connection Explorer, or ICON, satellite is inside the rocket's payload fairing. NASA's 2018 Business Opportunities Expo took place Oct. 23 at Port Canaveral's Cruise Terminal. Kennedy Space Center's Small Business Programs Office and Prime Contractor Board were among the hosts of the event.</t>
  </si>
  <si>
    <t>8dtd85YKkAs</t>
  </si>
  <si>
    <t>https://youtu.be/0YXq-aDsZQs</t>
  </si>
  <si>
    <t>TAKING OUT THE TRASH ON THE INTERNATIONAL SPACE STATION WITH KOICHI WAKATA</t>
  </si>
  <si>
    <t>0YXq-aDsZQs</t>
  </si>
  <si>
    <t>2018 10 25</t>
  </si>
  <si>
    <t>https://youtu.be/ypK5m8EwSqo</t>
  </si>
  <si>
    <t>Rocket Ranch Podcast Episode 5  Odd Jobs Around the Ranch</t>
  </si>
  <si>
    <t>When people think of the Kennedy Space Center, rockets are what likely come to mind. But we have more than rocket scientists here on the Space Coast. In this episode, we meet a few Ranch hands with odd jobs you may not expect to find around these parts.</t>
  </si>
  <si>
    <t>ypK5m8EwSqo</t>
  </si>
  <si>
    <t>2018 10 19</t>
  </si>
  <si>
    <t>https://youtu.be/37OeHMr9yPg</t>
  </si>
  <si>
    <t>Inside KSC! for Oct. 19, 2018</t>
  </si>
  <si>
    <t>NASA is preparing to launch the  Ionosphereic Connection Explorer, or ICON, satellite to study the zone where terrestrial and space weather meet. Additionally, at Launch Complex 39B, the pad’s Ignition Overpressure Protection and Sound Suppression water deluge system underwent two flow tests this week.</t>
  </si>
  <si>
    <t>37OeHMr9yPg</t>
  </si>
  <si>
    <t>2018 10 15</t>
  </si>
  <si>
    <t>https://youtu.be/ZCk5sLrEAJA</t>
  </si>
  <si>
    <t>Exploration Research and Technology Spotlight on Paul Hintze</t>
  </si>
  <si>
    <t>Paul Hintze, a chemist with Kennedy Space Center's Exploration Research and Technology Programs, helps to develop technology that will help us live somewhere besides Earth.</t>
  </si>
  <si>
    <t>ZCk5sLrEAJA</t>
  </si>
  <si>
    <t>2018 10 12</t>
  </si>
  <si>
    <t>https://youtu.be/618gaC7S_Xg</t>
  </si>
  <si>
    <t>Inside KSC! for Oct. 12, 2018</t>
  </si>
  <si>
    <t>Kennedy Space Center’s scenic location on central Florida’s east coast is perfect for launching rockets, but beach erosion is a concern – especially during hurricane season. That’s why NASA is managing a project to renourish the shoreline with beach-quality sand, building up the dune that helps to protect vital spaceport infrastructure.</t>
  </si>
  <si>
    <t>618gaC7S_Xg</t>
  </si>
  <si>
    <t>2018 10 10</t>
  </si>
  <si>
    <t>https://youtu.be/5qrUVh-Xev8</t>
  </si>
  <si>
    <t>Commercial Crew  Dawn of a New Space Age</t>
  </si>
  <si>
    <t>One day, space travel won’t be just for government astronauts. NASA is nurturing private industry to usher in a new era of commercial space, where exponential growth is poised to take flight.</t>
  </si>
  <si>
    <t>5qrUVh-Xev8</t>
  </si>
  <si>
    <t>2018 10 05</t>
  </si>
  <si>
    <t>https://youtu.be/xem0tM3Fl7I</t>
  </si>
  <si>
    <t>Inside KSC! for Oct. 5, 2018</t>
  </si>
  <si>
    <t>NASA is marking two important anniversaries this month. October 1 is the 60th anniversary of the official creation of the agency. And NASA's Launch Service Program was created 20 years ago, in October 1998, with management of the program based at Kennedy Space Center.</t>
  </si>
  <si>
    <t>xem0tM3Fl7I</t>
  </si>
  <si>
    <t>2018 09 28</t>
  </si>
  <si>
    <t>https://youtu.be/B5_zODAGx14</t>
  </si>
  <si>
    <t>Inside KSC! for Sept. 28, 2018</t>
  </si>
  <si>
    <t>The first science observations from the Transiting Exoplanet Survey Satellite, or TESS, are providing valuable data to help NASA scientists discover and study exoplanets — planets beyond our solar system. Children around the world, from ages four to 12, have an opportunity to contribute to NASA’s Commercial Crew Program. Winning artwork from a contest that runs through Oct. 17 will be used to create a 2019 calendar with different space themes for each month.</t>
  </si>
  <si>
    <t>B5_zODAGx14</t>
  </si>
  <si>
    <t>2018 09 26</t>
  </si>
  <si>
    <t>https://youtu.be/FCVJWNbhb14</t>
  </si>
  <si>
    <t>Commercial Crew  Supporting Critical Research</t>
  </si>
  <si>
    <t>Boeing and SpaceX are getting ready to launch astronauts from U.S. soil, but getting off the ground is just the beginning.  Once they arrive at the International Space Station, astronauts will be working on research to improve life on Earth, and help us send humans into deep space—farther than ever before.</t>
  </si>
  <si>
    <t>FCVJWNbhb14</t>
  </si>
  <si>
    <t>2018 09 25</t>
  </si>
  <si>
    <t>https://youtu.be/zcZ-KRfLK38</t>
  </si>
  <si>
    <t>Rocket Ranch Podcast Episode 4  Rocket Roundup</t>
  </si>
  <si>
    <t>NASA's Launch Services Program is responsible for launching uncrewed rockets delivering spacecraft that observe the Earth, visit other planets and explore the universe - from weather satellites to telescopes to Mars rovers and more. In this episode, hear from two powerhouses in NASA’s Launch Services Program: Mic Woltman, chief of Fleet Systems and Integration, and Launch Director Tim Dunn. Since the recording of this interview, the ICESat-2 mission successfully launched on the last United Launch Alliance Delta II, and the Launch Services Program is now five for five on successful missions in 2018, with a sixth still to come before the end of the year.</t>
  </si>
  <si>
    <t>zcZ-KRfLK38</t>
  </si>
  <si>
    <t>2018 09 24</t>
  </si>
  <si>
    <t>https://youtu.be/tTjKSDuF5r4</t>
  </si>
  <si>
    <t>TESS Countdown to T-Zero  NASA's Next Planet-Hunter</t>
  </si>
  <si>
    <t>NASA's Transiting Exoplanet Survey Satellite is prepared for its planet-seeking mission and launched aboard a SpaceX Falcon 9 rocket. TESS will survey the sky for exoplanets around nearby bright stars. The spacecraft lifted off April 18, 2018, from Space Launch Complex 40 at Cape Canaveral Air Force Station in Florida. Learn more at: http://www.nasa.gov/tess</t>
  </si>
  <si>
    <t>tTjKSDuF5r4</t>
  </si>
  <si>
    <t>2018 09 21</t>
  </si>
  <si>
    <t>https://youtu.be/iVAZZsUbw7M</t>
  </si>
  <si>
    <t>Inside KSC! for Sept. 21, 2018</t>
  </si>
  <si>
    <t>This week in space news, NASA’s ICESat-2 spacecraft begins its three-year mission to measure the changing height of Earth's ice after a spectacular liftoff on Saturday, September 15, from Space Launch Complex-2 at California’s Vandenberg Air Force Base. By delivering the ICESat-2 spacecraft to its orbital destination, the Delta II rocket finished its 29 years in service with one more success.</t>
  </si>
  <si>
    <t>iVAZZsUbw7M</t>
  </si>
  <si>
    <t>2018 09 19</t>
  </si>
  <si>
    <t>https://youtu.be/Yif4iu4QDNI</t>
  </si>
  <si>
    <t>Countdown to T-Zero  Now Flying Faster, Hotter and Closer Than Ever to the Sun</t>
  </si>
  <si>
    <t>Following years of work and preparation, a United Launch Alliance Delta IV Heavy rocket launched NASA's Parker Solar Probe for an unprecedented mission to "kiss the Sun." The spacecraft aims to unravel 60 years' worth of mysteries surrounding the Sun’s corona and how it effects life on Earth. Learn more at: http://www.nasa.gov/parkersolarprobe</t>
  </si>
  <si>
    <t>Yif4iu4QDNI</t>
  </si>
  <si>
    <t>2018 09 15</t>
  </si>
  <si>
    <t>https://youtu.be/grfJgdiD1aM</t>
  </si>
  <si>
    <t>Interview with NASA Launch Director</t>
  </si>
  <si>
    <t>Following the successful liftoff of a United Launch Alliance Delta II rocket orbiting NASA's Ice, Cloud and land Elevation Satellite-2 (ICESat-2), Launch Director Tim Dunn speaks with Joshua Santora of NASA Communications and Mic Woltman, a Launch Services Program engineer.</t>
  </si>
  <si>
    <t>grfJgdiD1aM</t>
  </si>
  <si>
    <t>https://youtu.be/Y0Vs_nrPZK8</t>
  </si>
  <si>
    <t>NASA's ICESat-2 Separates from Upper Stage</t>
  </si>
  <si>
    <t>A camera on the upper stage shows NASA's Ice, Cloud and land Elevation Satellite-2 (ICESat-2) as it is deployed into orbit above the Earth. Immediately following separation, agency and industry managers celebrate the successful launch. Liftoff took place atop a United Launch Alliance Delta II rocket from Space Launch Complex 2 at Vandenberg Air Force Base in California at 6:02 a.m. PDT (9:02 a.m. EDT). ICESat-2 carries the Advanced Topographic Laser Altimeter System to help scientists better understand why and how much Earth's frozen and icy areas, called the cryosphere, is changing.</t>
  </si>
  <si>
    <t>Y0Vs_nrPZK8</t>
  </si>
  <si>
    <t>https://youtu.be/vwoq-4Ys46Y</t>
  </si>
  <si>
    <t>Liftoff of NASA's ICESat-2</t>
  </si>
  <si>
    <t>A United Launch Alliance Delta II rocket lifts off at 6:02 a.m. PDT (9:02 a.m. EDT) from Space Launch Complex 2 at Vandenberg Air Force Base in California carrying NASA's Ice, Cloud and land Elevation Satellite-2 (ICESat-2). The spacecraft will measure the height of a changing Earth, one laser pulse at a time, 10,000 laser pulses a second. The satellite will carry a single instrument, the Advanced Topographic Laser Altimeter System. ICESat-2 will help scientists investigate why, and how much Earth's frozen and icy areas, called the cryosphere, is changing.</t>
  </si>
  <si>
    <t>vwoq-4Ys46Y</t>
  </si>
  <si>
    <t>https://youtu.be/fuT-dOUuN9Q</t>
  </si>
  <si>
    <t>ICESat-2, Delta II Countdown Poll</t>
  </si>
  <si>
    <t>In the launch control at Vandenberg Air Force Base in California, NASA and contractor managers and engineers monitor progress in the countdown to launch the agency's Ice, Cloud and land Elevation Satellite-2 (ICESat-2). The poll is designed to verify that all is ready for liftoff, now targeted for 6:02 a.m. PDT (9:02 a.m. EDT). The satellite will carry the Advanced Topographic Laser Altimeter System to help scientists better understand why and how much Earth's frozen and icy areas, called the cryosphere, is changing.</t>
  </si>
  <si>
    <t>fuT-dOUuN9Q</t>
  </si>
  <si>
    <t>https://youtu.be/igyU-7U1-mk</t>
  </si>
  <si>
    <t>Countdown Underway for NASA's ICESat-2</t>
  </si>
  <si>
    <t>The countdown is underway for the liftoff of NASA's Ice, Cloud and land Elevation Satellite-2 (ICESat-2) atop a United Launch Alliance Delta II rocket. Liftoff from Space Launch Complex 2 at Vandenberg Air Force Base in California is scheduled for 5:46 a.m. PDT (8:46 a.m. EDT). ICESat-2 will measure the height of a changing Earth, one laser pulse at a time, 10,000 laser pulses a second. The satellite will carry a single instrument, the Advanced Topographic Laser Altimeter System. ICESat-2 will help scientists investigate why, and how much Earth's frozen and icy areas, called the cryosphere, is changing.</t>
  </si>
  <si>
    <t>igyU-7U1-mk</t>
  </si>
  <si>
    <t>2018 09 14</t>
  </si>
  <si>
    <t>https://youtu.be/OXLmshN0V1M</t>
  </si>
  <si>
    <t>Inside KSC! for Sept. 14, 2018</t>
  </si>
  <si>
    <t>NASA’s Ice, Cloud and land Elevation Satellite-2, or ICESat-2, is poised for liftoff Saturday, Sept. 15, from Vandenberg Air Force Base on the final flight of the United Launch Alliance Delta II rocket. Also, the agency’s modified mobile launcher completed its move from Kennedy Space Center’s Launch Pad 39B to the Vehicle Assembly Building, in preparation to support the Space Launch System and Orion spacecraft on Exploration Mission-1.</t>
  </si>
  <si>
    <t>OXLmshN0V1M</t>
  </si>
  <si>
    <t>2018 09 13</t>
  </si>
  <si>
    <t>https://youtu.be/GEayXUlUars</t>
  </si>
  <si>
    <t>Mobile Launcher Moves Toward Exploration Mission-1</t>
  </si>
  <si>
    <t>At Kennedy Space Center, NASA's mobile launcher, atop crawler-transporter 2, makes the trek along the crawlerway to Launch Pad 39B for several days of systems checks. Then, the crawler carried the mobile launcher to the Vehicle Assembly to begin testing with the 10 levels of new work platforms and other systems in High Bay 3. Workers and guests viewed the mobile launcher's trek to the VAB during an employee event.</t>
  </si>
  <si>
    <t>GEayXUlUars</t>
  </si>
  <si>
    <t>https://youtu.be/gpouNl1sgqA</t>
  </si>
  <si>
    <t>Commercial Crew  Astronaut Flight Prep</t>
  </si>
  <si>
    <t>From trying on spacesuits to preparing for potential emergencies, see how astronauts are getting ready to fly on the test flights and first missions of Boeing’s Starliner and SpaceX’s Crew Dragon.</t>
  </si>
  <si>
    <t>gpouNl1sgqA</t>
  </si>
  <si>
    <t>https://youtu.be/NJbcJ5kSlCg</t>
  </si>
  <si>
    <t>ML Moves Toward Exploration Mission1 Roll In Timelapse</t>
  </si>
  <si>
    <t>The mobile launcher modified for NASA's new Space Launch System rocket moves into Kennedy Space Center's Vehicle Assembly Building in the early morning of Sept. 8, 2018.</t>
  </si>
  <si>
    <t>NJbcJ5kSlCg</t>
  </si>
  <si>
    <t>2018 09 07</t>
  </si>
  <si>
    <t>https://youtu.be/JAVX1ia7mEI</t>
  </si>
  <si>
    <t>Inside KSC! for Sept. 7, 2018</t>
  </si>
  <si>
    <t>For the first time, NASA's modified mobile launcher made a trek to Launch Pad 39B atop crawler-transporter 2. The 380-foot-tall structure underwent a fit check on the surface of the pad, followed by several days of systems testing. Then it will depart the pad and make the trek to the Vehicle Assembly Building.</t>
  </si>
  <si>
    <t>JAVX1ia7mEI</t>
  </si>
  <si>
    <t>2018 09 06</t>
  </si>
  <si>
    <t>https://youtu.be/HTtj3m5hIwE</t>
  </si>
  <si>
    <t>NASA -  Preparing For an Active Shooter Emergency</t>
  </si>
  <si>
    <t>At NASA, employee safety is our number one priority.  The 7.5-minute video you are about to watch is the result of an active shooter exercise reenactment designed to train NASA protective services teams in “what if” scenarios to be prepared for such an event.  Ironically, this video is about the average time of most active shooter incidents. Remember, safety is your responsibility too. Have a plan – use the run, hide, fight method to survive this all too common threat.</t>
  </si>
  <si>
    <t>HTtj3m5hIwE</t>
  </si>
  <si>
    <t>2018 09 05</t>
  </si>
  <si>
    <t>https://youtu.be/Kr78OOr2sCc</t>
  </si>
  <si>
    <t>NASA’s Mission to ‘Kiss the Sun’ Launches in 360 Degrees</t>
  </si>
  <si>
    <t>Watch in 360 degrees as a United Launch Alliance Delta IV Heavy rocket lifts off from Space Launch Complex-37 at Cape Canaveral Air Force Station in Florida carrying NASA's Parker Solar Probe. Roughly the size of a small car, the spacecraft lifted off at 3:31 a.m. EDT on Aug. 12, 2018, starting its historic mission to the Sun.</t>
  </si>
  <si>
    <t>Kr78OOr2sCc</t>
  </si>
  <si>
    <t>2018 08 31</t>
  </si>
  <si>
    <t>https://youtu.be/Tc0-Hhmgmm0</t>
  </si>
  <si>
    <t>Inside KSC! for Aug. 31, 2018</t>
  </si>
  <si>
    <t>The Orion pressure vessel for Exploration Mission-2 arrived at Kennedy Space Center. The mobile launcher for NASA’s Space Launch System rocket was transported to Launch Pad 39B atop crawler-transporter-2 for system checkouts. Teams from various NASA centers supporting the Commercial Crew Program met at Kennedy to review launch and landing operations as Boeing and SpaceX gear up for their flight tests.</t>
  </si>
  <si>
    <t>Tc0-Hhmgmm0</t>
  </si>
  <si>
    <t>https://youtu.be/aoU5P2SSCho</t>
  </si>
  <si>
    <t>Commercial Crew  The Flight Tests</t>
  </si>
  <si>
    <t>Learn about the first flights of Boeing’s Starliner and SpaceX’s Crew Dragon with and without astronauts on board, and what they will accomplish for NASA and its commercial partners.</t>
  </si>
  <si>
    <t>aoU5P2SSCho</t>
  </si>
  <si>
    <t>2018 08 30</t>
  </si>
  <si>
    <t>https://youtu.be/vwbOFkPuqhM</t>
  </si>
  <si>
    <t>Countdown to T-Zero  ICON Satellite to Study Space Weather</t>
  </si>
  <si>
    <t>Where does Earth's atmosphere end and space begin? This and other questions soon will be answered by NASA’s Ionospheric Connection Explorer, or ICON, satellite. Get ready to watch as the Pegasus countdown reaches T-Zero launching in early October from its carrier aircraft flying near the Kennedy Space Center .</t>
  </si>
  <si>
    <t>vwbOFkPuqhM</t>
  </si>
  <si>
    <t>2018 08 29</t>
  </si>
  <si>
    <t>https://youtu.be/W5g9FSri6mA</t>
  </si>
  <si>
    <t>Crawler crew explains how they move the mobile launcher</t>
  </si>
  <si>
    <t>W5g9FSri6mA</t>
  </si>
  <si>
    <t>2018 08 28</t>
  </si>
  <si>
    <t>https://youtu.be/y7r968V7RBE</t>
  </si>
  <si>
    <t>Rocket Ranch Podcast Episode 3  Failure is Not an Option</t>
  </si>
  <si>
    <t>As we prepare to launch humans into space on new American-made rockets and spacecraft, it's even more important to revisit what caused two of the most horrific days in NASA's history. In this episode, we're sitting down with former Columbia Launch Director, Mike Leinbach, and Apollo Challenger Columbia Lessons Learned Program Manager, Michael Ciannilli to explore not just the technical issues that brought down the crews of both Challenger and Columbia, but the agency's cultural environment that proved just as deadly.</t>
  </si>
  <si>
    <t>y7r968V7RBE</t>
  </si>
  <si>
    <t>2018 08 24</t>
  </si>
  <si>
    <t>https://youtu.be/kY1cZl0bZl4</t>
  </si>
  <si>
    <t>Rocket Ranch Promo  Failure is Not an Option</t>
  </si>
  <si>
    <t>Tune in Aug. 28 for the third episode of NASA Kennedy Space Center's Rocket Ranch Podcast. As the next chapter in human spaceflight begins, we explore past tragedies to ensure that this time, failure is not an option.</t>
  </si>
  <si>
    <t>kY1cZl0bZl4</t>
  </si>
  <si>
    <t>https://youtu.be/dlRg2JKCVRo</t>
  </si>
  <si>
    <t>Inside KSC! for August 24, 2018</t>
  </si>
  <si>
    <t>This week in space news, the Exploration Ground Systems team tested the Crew Access Arm on the new mobile launcher, which is being prepared to support NASA’s Orion spacecraft and Space Launch System rocket. Also, aeroshells for the Ascent Abort-2 Flight Test rolled from Kennedy’s Vehicle Assembly Building to Space Launch Complex 46.</t>
  </si>
  <si>
    <t>dlRg2JKCVRo</t>
  </si>
  <si>
    <t>2018 08 23</t>
  </si>
  <si>
    <t>https://youtu.be/zrBTu389aqY</t>
  </si>
  <si>
    <t>Commercial Crew  The Spacecraft</t>
  </si>
  <si>
    <t>Look inside Boeing’s Starliner and SpaceX’s Crew Dragon, the commercial spacecraft that will fly astronauts from the U.S. to the International Space Station for the first time since 2011.</t>
  </si>
  <si>
    <t>zrBTu389aqY</t>
  </si>
  <si>
    <t>2018 08 17</t>
  </si>
  <si>
    <t>https://youtu.be/u9xzuOgs9-4</t>
  </si>
  <si>
    <t>Inside KSC! for August 17, 2018</t>
  </si>
  <si>
    <t>NASA's Parker Solar Probe is beginning its mission to the Sun after a successful launch Aug. 12 aboard a United Launch Alliance Delta IV Heavy rocket. The mission was first proposed in 1958 by heliophysics pioneer Dr. Eugene Parker, who viewed the launch from Kennedy and anticipates new discoveries from his namesake spacecraft.</t>
  </si>
  <si>
    <t>u9xzuOgs9-4</t>
  </si>
  <si>
    <t>2018 08 13</t>
  </si>
  <si>
    <t>https://youtu.be/RU6QkU8w60c</t>
  </si>
  <si>
    <t>Commercial Crew  Meet the Flight Test Crews</t>
  </si>
  <si>
    <t>On Aug. 3, 2018, NASA Administrator Jim Bridenstine announced to the world the first astronauts to fly commercial spacecraft from Boeing and SpaceX, as part of NASA’s Commercial Crew Program. Meet the astronauts who will be the first to launch from American soil since 2011.</t>
  </si>
  <si>
    <t>RU6QkU8w60c</t>
  </si>
  <si>
    <t>2018 08 12</t>
  </si>
  <si>
    <t>https://youtu.be/AWAP4hXe3cY</t>
  </si>
  <si>
    <t>Following the successful liftoff of a United Launch Alliance Delta IV Heavy rocket launching NASA's Parker Solar Probe Launch Director Omar Baez speaks with Josh Finch of NASA Communications.</t>
  </si>
  <si>
    <t>AWAP4hXe3cY</t>
  </si>
  <si>
    <t>https://youtu.be/1dm4WUx7z1A</t>
  </si>
  <si>
    <t>Liftoff of NASA's Parker Solar Probe</t>
  </si>
  <si>
    <t>A United Launch Alliance Delta IV Heavy rocket lifts off at 3:31 a.m. EDT from Space Launch Complex 37 at Cape Canaveral Air Force Station carrying NASA's Parker Solar Probe on a mission to the Sun. The mission will perform the closest-ever observations of a star when it travels through the Sun's atmosphere, called the corona. The probe will rely on measurements and imaging to revolutionize our understanding of the corona and the Sun-Earth connection.</t>
  </si>
  <si>
    <t>1dm4WUx7z1A</t>
  </si>
  <si>
    <t>https://youtu.be/9IC1Io5xkbc</t>
  </si>
  <si>
    <t>Parker Solar Probe, Delta IV Heavy Countdown Poll</t>
  </si>
  <si>
    <t>In the launch control at Cape Canaveral Air Force Station, NASA and contractor managers and engineers monitor progress in the countdown to launch NASA's Parker Solar Probe. The poll is designed to verify that all is ready for liftoff. The spacecraft will perform the closest-ever observations of a star when it travels through the Sun's atmosphere, called the corona. Liftoff is scheduled to lift off at 3:31 a.m. EDT on Aug. 12, 2018.</t>
  </si>
  <si>
    <t>9IC1Io5xkbc</t>
  </si>
  <si>
    <t>https://youtu.be/MMBmXdZgS8E</t>
  </si>
  <si>
    <t>Countdown Underway for NASA's Parker Solar Probe</t>
  </si>
  <si>
    <t>Following a postponement due to a violation of a launch limit, the countdown again is underway for the liftoff of NASA's Parker Solar Probe, atop a United Launch Alliance Delta IV Heavy rocket from Space Launch Complex 37 at Cape Canaveral Air Force Station. The probe will rely on measurements and imaging to revolutionize our understanding of the corona and the Sun-Earth connection. Liftoff is scheduled to lift off at 3:31 a.m. EDT on Aug. 12, 2018.</t>
  </si>
  <si>
    <t>MMBmXdZgS8E</t>
  </si>
  <si>
    <t>2018 08 11</t>
  </si>
  <si>
    <t>https://youtu.be/gvI9KNVd-nU</t>
  </si>
  <si>
    <t>Parker Solar Probe Launch Postponed</t>
  </si>
  <si>
    <t>At Cape Canaveral Air Force Station in Florida, the countdown for the launch of NASA's Parker Solar Probe was postponed due to a technical issue. Managers have rescheduled the liftoff for 3:31 a.m. EDT, Sunday, Aug. 12.</t>
  </si>
  <si>
    <t>gvI9KNVd-nU</t>
  </si>
  <si>
    <t>https://youtu.be/zhdC4wocAwM</t>
  </si>
  <si>
    <t>NASA's Parker Solar Probe Ready for Launch Atop Delta IV Heavy</t>
  </si>
  <si>
    <t>The countdown is underway for the liftoff of NASA's Parker Solar Probe, atop a United Launch Alliance Delta IV Heavy rocket from Space Launch Complex 37 at Cape Canaveral Air Force Station. The probe will rely on measurements and imaging to revolutionize our understanding of the corona and the Sun-Earth connection. Liftoff is scheduled to lift off at 3:53 a.m. EDT on Aug. 11, 2018.</t>
  </si>
  <si>
    <t>zhdC4wocAwM</t>
  </si>
  <si>
    <t>2018 08 09</t>
  </si>
  <si>
    <t>https://youtu.be/Pm0k8kaAUBo</t>
  </si>
  <si>
    <t>Inside KSC! for August 9, 2018</t>
  </si>
  <si>
    <t>NASA announced the astronauts who will launch aboard new American-made spacecraft and rocket systems, the first human launches from the United States since 2011. NASA Administrator Jim Bridenstine made his first official visit as NASA Administrator to Kennedy Space Center this week.</t>
  </si>
  <si>
    <t>Pm0k8kaAUBo</t>
  </si>
  <si>
    <t>2018 08 06</t>
  </si>
  <si>
    <t>https://youtu.be/N2mLnwayX00</t>
  </si>
  <si>
    <t>Dust Mitigation Technology to Aid Future Explorers</t>
  </si>
  <si>
    <t>NASA scientists at the agency's Kennedy Space Center in Florida are developing the Electrodynamic Dust Shield to avoid dust problems for astronauts exploring the Moon, Mars and other distant destinations. The technology soon will be tested aboard the International Space Station.</t>
  </si>
  <si>
    <t>N2mLnwayX00</t>
  </si>
  <si>
    <t>2018 08 03</t>
  </si>
  <si>
    <t>https://youtu.be/z-0M3h_saiA</t>
  </si>
  <si>
    <t xml:space="preserve">NASA's Commercial Crew Program   Our Destiny Lies Above Us </t>
  </si>
  <si>
    <t>NASA's Commercial Crew Program is poised to return America's capability to launch U.S. astronauts from our nation's soil to the International Space Station.</t>
  </si>
  <si>
    <t>z-0M3h_saiA</t>
  </si>
  <si>
    <t>https://youtu.be/SQYARopfKX8</t>
  </si>
  <si>
    <t>Inside KSC! for August 3, 2018</t>
  </si>
  <si>
    <t>NASA’s coolest hottest mission is getting closer to launch. The Parker Solar Probe was transported to the pad and lifted into place atop the United Launch Alliance Delta IV Heavy rocket that will carry it into space. Chuck Dovale, deputy program manager for the Launch Services Program, was among three employees who received a Distinguished Service Medal presented by NASA Administrator Jim Bridenstine.</t>
  </si>
  <si>
    <t>SQYARopfKX8</t>
  </si>
  <si>
    <t>2018 07 27</t>
  </si>
  <si>
    <t>https://youtu.be/JSgNtjoOc4Y</t>
  </si>
  <si>
    <t>Countdown to T-Zero  Flying Faster, Hotter and Closer Than Ever to the Sun</t>
  </si>
  <si>
    <t>NASA's Parker Solar Probe and its United Launch Alliance Delta IV Heavy launch vehicle prepare for an unprecedented mission to "kiss the Sun." The spacecraft aims to unravel 60 years' worth of mysteries surrounding the Sun’s corona. Watch as NASA’s Launch Services Program continues the countdown to T-zero. Visit http://www.nasa.gov/parkersolarprobe to learn more and watch the historic launch on NASA TV in the coming weeks.</t>
  </si>
  <si>
    <t>JSgNtjoOc4Y</t>
  </si>
  <si>
    <t>https://youtu.be/rVqaocXISYY</t>
  </si>
  <si>
    <t>Inside KSC! for July 27, 2018</t>
  </si>
  <si>
    <t>Kennedy’s Engineering Directorate and Exploration Ground Systems celebrate the completion of 2.5 years of launch equipment testing for Exploration Mission-1. Also, researchers at the Florida spaceport demonstrated their Electromagnetic Dust Shield, which uses electric charges to remove dust from surfaces and could protect solar panels, helmet visors and more on future missions to the Moon and Mars.</t>
  </si>
  <si>
    <t>rVqaocXISYY</t>
  </si>
  <si>
    <t>2018 07 26</t>
  </si>
  <si>
    <t>https://youtu.be/at1prA_jbtw</t>
  </si>
  <si>
    <t>I Am an Engineer</t>
  </si>
  <si>
    <t>What is an engineer? At NASA's Kennedy Space Center in Florida, several engineers talk about where their careers have taken them and how they use engineering to solve problems in building technology for the agency's Exploration Ground Systems program.</t>
  </si>
  <si>
    <t>at1prA_jbtw</t>
  </si>
  <si>
    <t>2018 07 25</t>
  </si>
  <si>
    <t>https://youtu.be/tv7feLPTqeU</t>
  </si>
  <si>
    <t>Rocket Ranch Podcast E02  Some Like It Hot</t>
  </si>
  <si>
    <t>Even though our Sun shines bright in the sky, it is shrouded in mystery. In this episode of the Rocket Ranch, we sit down with scientists working to get us closer to the Sun than ever before. First up, we talk with a project scientist on the Parker Solar Probe mission that will be launching soon – attempting to fly inside the Sun’s atmosphere – in order to unlock its many secrets. Next, we sit down with a researcher working on a cryogenic coating that could get us even closer, but his goal is not to go to the Sun – it’s to store rocket fuel in space while keeping it from boiling off, a critical breakthrough needed to help us explore farther into space.</t>
  </si>
  <si>
    <t>tv7feLPTqeU</t>
  </si>
  <si>
    <t>https://youtu.be/rfMvVRTxTZI</t>
  </si>
  <si>
    <t>Rocket Ranch Podcast E01  Mars</t>
  </si>
  <si>
    <t>The soil beneath your feet, the food on your table, the roof over your head... these are luxuries on Mars. Getting there isn’t a problem, it’s surviving once you land. In this episode we’ll sit down with scientists and engineers exploring our planetary neighbor and preparing for the survival of those who brave the journey.</t>
  </si>
  <si>
    <t>rfMvVRTxTZI</t>
  </si>
  <si>
    <t>2018 07 20</t>
  </si>
  <si>
    <t>https://youtu.be/rItcUiPmh_Q</t>
  </si>
  <si>
    <t>Inside KSC! for July 20, 2018</t>
  </si>
  <si>
    <t>This week in space news, aeroshells for the Orion spacecraft's Ascent Abort-2 flight test have arrived at Kennedy, and the first of two 35-foot-tall Tail Service Mast Umbilicals that will deliver propellants to the Space Launch System rocket is installed on the Mobile Launcher.</t>
  </si>
  <si>
    <t>rItcUiPmh_Q</t>
  </si>
  <si>
    <t>2018 07 19</t>
  </si>
  <si>
    <t>https://youtu.be/PFXECernqgk</t>
  </si>
  <si>
    <t>Historic Twin Launch Pad Towers Demolished</t>
  </si>
  <si>
    <t>Gantries at Cape Canaveral Air Force Station's historic Space Launch Complex 17A and 17 B recently were demolished. For decades, both launch pads supported launches of spacecraft from communications and weather satellites to probes to the Moon and planets.</t>
  </si>
  <si>
    <t>PFXECernqgk</t>
  </si>
  <si>
    <t>2018 07 13</t>
  </si>
  <si>
    <t>https://youtu.be/bKwCf5TRZ4Y</t>
  </si>
  <si>
    <t>Inside KSC! for July 13, 2018</t>
  </si>
  <si>
    <t>This week in space news, NASA continues preparations to launch the Ice, Cloud and land Elevation Satellite-2, or ICESat-2, at Vandenberg Air Force Base in California. The spacecraft is undergoing preflight checkouts, and the United Launch Alliance Delta II rocket's solid motors and upper stage are now in place.</t>
  </si>
  <si>
    <t>bKwCf5TRZ4Y</t>
  </si>
  <si>
    <t>2018 07 06</t>
  </si>
  <si>
    <t>https://youtu.be/MifM-RIraYI</t>
  </si>
  <si>
    <t>Inside KSC! for July 6, 2018</t>
  </si>
  <si>
    <t>This week in space news, a critical piece of hardware – the heat shield – is now in place on NASA’s Parker Solar Probe, and the agency conducts crucial activities in preparation for Orion’s Ascent Abort-2 Flight Test.</t>
  </si>
  <si>
    <t>MifM-RIraYI</t>
  </si>
  <si>
    <t>2018 06 29</t>
  </si>
  <si>
    <t>https://youtu.be/H9CogxbDncA</t>
  </si>
  <si>
    <t>CRS-15 Interview with Trent Smith</t>
  </si>
  <si>
    <t>Trent Smith, Veggie project manager at NASA’s Kennedy Space Center, shares information about four new crops heading to the International Space Station on the SpaceX Dragon spacecraft during the CRS-15 commercial resupply services mission. Liftoff of the SpaceX Falcon 9 rocket occurred at 5:42 a.m. EDT from Space Launch Complex 40 at Cape Canaveral Air Force Station in Florida.</t>
  </si>
  <si>
    <t>H9CogxbDncA</t>
  </si>
  <si>
    <t>https://youtu.be/kegheqHNmAA</t>
  </si>
  <si>
    <t>Inside KSC! for June 29, 2018</t>
  </si>
  <si>
    <t>A SpaceX Falcon 9 rocket and Dragon cargo spacecraft lifted off from Space Launch Complex 40 at Cape Canaveral Air Force Station on the company's 15th commercial resupply mission to the International Space Station. Also, Kennedy has launched a new podcast series, "Rocket Ranch," that will introduce you to the extraordinary people behind the rocket science at the world's premier multi-user spaceport.</t>
  </si>
  <si>
    <t>kegheqHNmAA</t>
  </si>
  <si>
    <t>https://youtu.be/5Y_-O22a8dg</t>
  </si>
  <si>
    <t>SpaceX CRS-15 Dragon Solar Arrays Deployed</t>
  </si>
  <si>
    <t>Dragon's solar arrays are deployed as the spacecraft begins its journey to the International Space Station. SpaceX's 15th commercial resupply services mission lifted off from Space Launch Complex 40 at Cape Canaveral Air Force Station in Florida at 5:42 a.m. EDT.</t>
  </si>
  <si>
    <t>5Y_-O22a8dg</t>
  </si>
  <si>
    <t>https://youtu.be/_fSYXzvcm5Y</t>
  </si>
  <si>
    <t>Dragon SpaceX CRS-15 Spacecraft Separation</t>
  </si>
  <si>
    <t>The SpaceX CRS-15 Dragon spacecraft separated from the SpaceX rocket Falcon 9 rocket as it continues on the 15th commercial resupply services mission to the International Space Station. Liftoff took place at Cape Canaveral Air Force Station's Space Launch Complex 40 at 5:42 a.m. EDT.</t>
  </si>
  <si>
    <t>_fSYXzvcm5Y</t>
  </si>
  <si>
    <t>https://youtu.be/jCn3hu5XmD0</t>
  </si>
  <si>
    <t>SpaceX CRS-15 Liftoff</t>
  </si>
  <si>
    <t>The SpaceX CRS-15 Falcon 9 rocket lifts off from Space Launch Complex 40 at Cape Canaveral Air Force Station, sending a Dragon spacecraft on the company's 15th commercial resupply services mission to the International Space Station. Liftoff was at 5:42 a.m. EDT.</t>
  </si>
  <si>
    <t>jCn3hu5XmD0</t>
  </si>
  <si>
    <t>https://youtu.be/JM-ufe7ryec</t>
  </si>
  <si>
    <t>SpaceX CRS-15 Countdown Underway</t>
  </si>
  <si>
    <t>JM-ufe7ryec</t>
  </si>
  <si>
    <t>2018 06 26</t>
  </si>
  <si>
    <t>https://youtu.be/qnGVXoP1tZM</t>
  </si>
  <si>
    <t>Welcome to the Rocket Ranch Podcast</t>
  </si>
  <si>
    <t>Introducing the official podcast from NASA’s Kennedy Space Center - or, as we call it, the Rocket Ranch. What makes rockets fly? It’s people - regular men and women doing extraordinary things. During this podcast series, we’re going to introduce you to some of them.</t>
  </si>
  <si>
    <t>qnGVXoP1tZM</t>
  </si>
  <si>
    <t>2018 06 22</t>
  </si>
  <si>
    <t>https://youtu.be/fhNN9NzU014</t>
  </si>
  <si>
    <t>Inside KSC! for June 22, 2018</t>
  </si>
  <si>
    <t>NASA's Parker Solar Probe is being processed for its mission to study the Sun. The probe is being tested and prepared inside the Astrotech processing facility near Kennedy Space Center in Florida.</t>
  </si>
  <si>
    <t>fhNN9NzU014</t>
  </si>
  <si>
    <t>2018 06 15</t>
  </si>
  <si>
    <t>https://youtu.be/W-X8x8gavow</t>
  </si>
  <si>
    <t>Inside KSC! for June 15, 2018</t>
  </si>
  <si>
    <t>Editor's note: The ICESat-2 launch date is Sept. 12, not Sept. 2.
This week in space news, a SpaceX Dragon cargo spacecraft will resupply the International Space Station with a launch from Cape Canaveral Air Force Station in Florida later this month. NASA's Ice, Cloud, and land Elevation Satellite-2, or ICESat-2, arrived at Vandenberg Air Force Base in California on Tuesday.</t>
  </si>
  <si>
    <t>W-X8x8gavow</t>
  </si>
  <si>
    <t>2018 06 11</t>
  </si>
  <si>
    <t>https://youtu.be/UafcXBa5v6s</t>
  </si>
  <si>
    <t>Inside KSC! for June 11, 2018</t>
  </si>
  <si>
    <t>Kennedy Space Center's upgraded crawler-transporter 2 was moved beneath the mobile launcher for testing. The center hosted its annual hurricane awareness briefing for the workforce to prepare for this year's storm season.</t>
  </si>
  <si>
    <t>UafcXBa5v6s</t>
  </si>
  <si>
    <t>https://youtu.be/7_Api3f49LE</t>
  </si>
  <si>
    <t>Did You Know...Crawlerway at NASA's Kennedy Space Center</t>
  </si>
  <si>
    <t>Watch a video infographic about the crawlerway at NASA's Kennedy Space Center in Florida. The crawlerway is the path that crawler-transporter 2 will take to carry the mobile launcher with the agency's Space Launch System rocket and Orion spacecraft atop to Launch Complex 39B. Exploration Ground Systems is preparing facilities at Kennedy to support Exploration Mission-1.</t>
  </si>
  <si>
    <t>7_Api3f49LE</t>
  </si>
  <si>
    <t>2018 06 05</t>
  </si>
  <si>
    <t>https://youtu.be/9matDigB2w4</t>
  </si>
  <si>
    <t>Main Flame Deflector Installed at Launch Pad 39B</t>
  </si>
  <si>
    <t>Exploration Ground Systems at NASA's Kennedy Space Center in Florida achieved a significant milestone on the path to supporting the agency's first integrated launch of the SLS and Orion spacecraft by completing the major construction on the main flame deflector in the upgraded flame trench at Pad B. The new main flame deflector is critical to safely deflecting the plume exhaust from the massive rocket during launch. Measuring approximately 57 feet wide, 43 feet high and 70 feet long, the deflector's north side is slanted at about a 58-degree angle and will divert the rocket's exhaust, pressure and intense heat to the north at liftoff.</t>
  </si>
  <si>
    <t>9matDigB2w4</t>
  </si>
  <si>
    <t>2018 06 01</t>
  </si>
  <si>
    <t>https://youtu.be/fXcgsT6hddM</t>
  </si>
  <si>
    <t>Inside KSC! for June 1, 2018</t>
  </si>
  <si>
    <t>This week in space news, a fast-moving deluge of water puts Launch Pad 39B systems to the test, and NASA remembers astronauts Alan Bean and Don Peterson with wreath-laying ceremonies at the Kennedy Space Center Visitor Complex.</t>
  </si>
  <si>
    <t>fXcgsT6hddM</t>
  </si>
  <si>
    <t>2018 05 25</t>
  </si>
  <si>
    <t>https://youtu.be/sji3K7e4GHA</t>
  </si>
  <si>
    <t>Inside KSC! for May 25, 2018</t>
  </si>
  <si>
    <t>The Gravity Recovery and Climate Experiment Follow-On mission, or GRACE-FO, began with a successful launch aboard a SpaceX Falcon 9 rocket from California’s Vandenberg Air Force Base on May 22, 2018. NASA’s Launch Services Program, based at Kennedy, served in an advisory role for the mission. Meanwhile, preparations continue for the upcoming launch of the Ionospheric Connection Explorer, or ICON.</t>
  </si>
  <si>
    <t>sji3K7e4GHA</t>
  </si>
  <si>
    <t>2018 05 22</t>
  </si>
  <si>
    <t>https://youtu.be/vY8d6vQ6rhY</t>
  </si>
  <si>
    <t>GRACE-FO Launches Aboard SpaceX Falcon 9</t>
  </si>
  <si>
    <t>The Gravity Recovery and Climate Experiment Follow-on (GRACE-FO) spacecraft launches from Vandenberg Air Force Base in California on May 22, 2018, aboard a SpaceX Falcon 9 rocket. The mission is a successor to the original GRACE mission, and will carry on its work of tracking the movement of Earth’s water. NASA’s Launch Services Program, based at the agency’s Kennedy Space Center in Florida, served in an advisory role for the launch.</t>
  </si>
  <si>
    <t>vY8d6vQ6rhY</t>
  </si>
  <si>
    <t>2018 05 18</t>
  </si>
  <si>
    <t>https://youtu.be/9rkv4oq53OE</t>
  </si>
  <si>
    <t>Inside KSC! for May 18, 2018</t>
  </si>
  <si>
    <t>This week in space news, college students converge on the Kennedy Space Center Visitor Complex for the 9th annual Robotic Mining Competition, and the Advanced Plant Habitat base is readied for its flight to the International Space Station aboard the Orbital ATK Cygnus spacecraft.</t>
  </si>
  <si>
    <t>9rkv4oq53OE</t>
  </si>
  <si>
    <t>2018 05 11</t>
  </si>
  <si>
    <t>https://youtu.be/DgpwocZjg7w</t>
  </si>
  <si>
    <t>Inside KSC! for May 11, 2018</t>
  </si>
  <si>
    <t>NASA’s InSight spacecraft is on a six-month, 300-million mile voyage to Mars, following a successful liftoff from Vandenberg Air Force Base in California on May 5. “The Voice of Kennedy Launch Control” now has a place on the “Chroniclers wall.” George Diller joined the prestigious “Chroniclers” group during a ceremony at Kennedy’s NASA News Center on May 4.</t>
  </si>
  <si>
    <t>DgpwocZjg7w</t>
  </si>
  <si>
    <t>2018 05 05</t>
  </si>
  <si>
    <t>https://youtu.be/NisclMyoAkM</t>
  </si>
  <si>
    <t>Following the successful liftoff of a United Launch Alliance Atlas V rocket with NASA's Interior Exploration using Seismic Investigations, Geodesy and Heat Transport, or InSight, Mars lander, Launch Director Tim Dunn speaks with Tori McLendon of NASA Communications.</t>
  </si>
  <si>
    <t>NisclMyoAkM</t>
  </si>
  <si>
    <t>https://youtu.be/9ybr-x2ldPk</t>
  </si>
  <si>
    <t>NASA Administrator Addresses InSight Launch Team</t>
  </si>
  <si>
    <t>Shortly after NASA's Interior Exploration using Seismic Investigations, Geodesy and Heat Transport, or InSight, Mars lander was deployed for its trip to the Red Planet, agency Administrator Jim Bridenstine addressed members of the launch team at Vandenberg Air Force Base in California. InSight will be the first mission to look deep beneath the Martian surface. Liftoff atop a United Launch Alliance Atlas V rocket took place at 4:05 a.m. PDT (7:05 a.m. EDT).</t>
  </si>
  <si>
    <t>9ybr-x2ldPk</t>
  </si>
  <si>
    <t>https://youtu.be/WKLlI3ndF2s</t>
  </si>
  <si>
    <t>InSight, MarCO Cubesats Separate from Atlas V Centaur Upper Stage</t>
  </si>
  <si>
    <t>As NASA and industry managers and engineers watch from Vandenberg Air Force Base and the agency's Jet Propulsion Laboratory (JPL) in Pasadena, California, the Interior Exploration using Seismic Investigations, Geodesy and Heat Transport, or InSight, Mars lander separates and is deployed from the Centaur upper stage for its trip to the Red Planet. Shortly thereafter, twin communications-relay CubeSats, called Mars Cube One, or MarCO, were deployed. MarCO constitutes a technology demonstration being built by JPL. InSight will be the first mission to look deep beneath the Martian surface. Liftoff atop a United Launch Alliance Atlas V rocket took place from Vandenberg at 4:05 a.m. PDT (7:05 a.m. EDT).</t>
  </si>
  <si>
    <t>WKLlI3ndF2s</t>
  </si>
  <si>
    <t>https://youtu.be/VKQ-6WCbHis</t>
  </si>
  <si>
    <t>Liftoff of InSight</t>
  </si>
  <si>
    <t>A United Launch Alliance Atlas V rocket lifts off at 4:05 a.m. PDT (7:05 a.m. EDT) from Space Launch Complex 3 at Vandenberg Air Force Base in California carrying NASA's Interior Exploration using Seismic Investigations, Geodesy and Heat Transport, or InSight, Mars lander. InSight will be the first mission to look deep beneath the Martian surface. It will study the planet's interior by measuring its heat output and listen for marsquakes. The spacecraft will use the seismic waves generated by marsquakes to develop a map of the planet’s deep interior. The resulting insight into Mars’ formation will provide a better understanding of how other rocky planets, including Earth, were created.</t>
  </si>
  <si>
    <t>VKQ-6WCbHis</t>
  </si>
  <si>
    <t>https://youtu.be/xBSLW0VTr4M</t>
  </si>
  <si>
    <t>InSight, Atlas are  Go  for Launch</t>
  </si>
  <si>
    <t>In the launch control at Vandenberg Air Force Base, NASA and contractor managers and engineers monitor progress in the countdown to launch a United Launch Alliance Atlas V rocket and confirm all is ready for liftoff of NASA's Interior Exploration using Seismic Investigations, Geodesy and Heat Transport, or InSight, Mars lander. It will study the planet's interior by measuring its heat output and listen for marsquakes. The spacecraft will use the seismic waves generated by marsquakes to develop a map of the planet’s deep interior.</t>
  </si>
  <si>
    <t>xBSLW0VTr4M</t>
  </si>
  <si>
    <t>https://youtu.be/CxLxfaxjq5Y</t>
  </si>
  <si>
    <t>NASA's InSight Ready for Launch Atop Atlas V</t>
  </si>
  <si>
    <t>A United Launch Alliance Atlas V rocket stands ready to boost NASA's Interior Exploration using Seismic Investigations, Geodesy and Heat Transport, or InSight, Mars lander. InSight will be the first mission to look deep beneath the Martian surface. InSight is scheduled to launch at 4:05 a.m. PDT (7:05 a.m. EDT) from Space Launch Complex 3 at Vandenberg Air Force Base in California.</t>
  </si>
  <si>
    <t>CxLxfaxjq5Y</t>
  </si>
  <si>
    <t>2018 05 04</t>
  </si>
  <si>
    <t>https://youtu.be/VONBwpYci64</t>
  </si>
  <si>
    <t>Inside KSC! for May 4, 2018</t>
  </si>
  <si>
    <t>This week in space news, NASA’s InSight lander is readied for its upcoming launch to study the interior of the Red Planet. Also, Florida students talk to International Space Station astronauts and Kennedy scientists about growing edible plants in space, part of The Fairchild Challenge.</t>
  </si>
  <si>
    <t>VONBwpYci64</t>
  </si>
  <si>
    <t>2018 05 03</t>
  </si>
  <si>
    <t>https://youtu.be/YKVhjdWitsg</t>
  </si>
  <si>
    <t>InSight Countdown to T-Zero, Episode 2  Into the Fairing</t>
  </si>
  <si>
    <t>The launch campaign heats up for NASA’s InSight spacecraft and United Launch Alliance Atlas V rocket at Vandenberg Air Force Base in California. The Mars-bound probe is secured inside its protective payload fairing, then moved overnight to the launch pad, where it’s lifted into position atop the waiting Atlas V. Also on board are two small communications-relay satellites - MarCO-A and MarCO-B - intended to become the first CubeSats to venture into deep space.</t>
  </si>
  <si>
    <t>YKVhjdWitsg</t>
  </si>
  <si>
    <t>https://youtu.be/siD4mNuTL-8</t>
  </si>
  <si>
    <t>Innovators Dig Deep in NASA’s Robotic Mining Competition</t>
  </si>
  <si>
    <t>Resources that future explorers could use to make rocket fuel, life support or building materials, are just below the surface of the Moon, Mars or other alien ground. Low-mass, high-performance and fully autonomous machines can bring these possibilities to the surface. Teams of college-level students from across the nation will put their excavator robots to the test during NASA’s 2018 Robotic Mining Competition. Catch the action May 16-18 at the Kennedy Space Center Visitor Complex. www.facebook.com/RoboticMiningCompetition/</t>
  </si>
  <si>
    <t>siD4mNuTL-8</t>
  </si>
  <si>
    <t>2018 05 02</t>
  </si>
  <si>
    <t>https://youtu.be/U3tNa0sxmu0</t>
  </si>
  <si>
    <t>InSight Countdown to T-Zero  From the West Coast to the Red Planet</t>
  </si>
  <si>
    <t>NASA's next Red Planet explorer has arrived at Vandenberg Air Force Base in California - a big step forward in the countdown to T-zero. The spacecraft is called InSight - short for Interior Exploration using Seismic Investigations, Geodesy and Heat Transport - and it's being tested, fueled and encapsulated for launch aboard the powerful United Launch Alliance Atlas V rocket. The upcoming liftoff will mark the first time an interplanetary mission has launched from the West Coast.</t>
  </si>
  <si>
    <t>U3tNa0sxmu0</t>
  </si>
  <si>
    <t>2018 04 27</t>
  </si>
  <si>
    <t>https://youtu.be/ncUelhK7DmI</t>
  </si>
  <si>
    <t>Inside KSC! for April 27, 2018</t>
  </si>
  <si>
    <t>This week in space news, former shuttle astronauts Scott Altman and Tom Jones are inducted into the U.S. Astronaut Hall of Fame, and a swarm of small robots put their programming to the test in the third annual Swarmathon competition.</t>
  </si>
  <si>
    <t>ncUelhK7DmI</t>
  </si>
  <si>
    <t>2018 04 20</t>
  </si>
  <si>
    <t>https://youtu.be/IxePMPZNUW4</t>
  </si>
  <si>
    <t>Inside KSC! for April 20, 2018</t>
  </si>
  <si>
    <t>This week in space news, NASA’s Transiting Exoplanet Survey Satellite launches on a SpaceX Falcon 9 rocket to embark on a hunt for exoplanets, and the Parker Solar Probe arrives in Florida to begin preparations for its upcoming mission to study the Sun.</t>
  </si>
  <si>
    <t>IxePMPZNUW4</t>
  </si>
  <si>
    <t>2018 04 19</t>
  </si>
  <si>
    <t>https://youtu.be/EswMsWT_1YI</t>
  </si>
  <si>
    <t>Interview with NASA's Tim Dunn</t>
  </si>
  <si>
    <t>Following the successful liftoff of a Falcon 9 rocket and deployment of NASA's Transiting Exoplanet Survey Satellite, or TESS, Tim Dunn of the agency's Launch Services Program speaks with Josh Finch of NASA Communications. TESS is the next step in the search for planets, also known as "exoplanets," located outside of the solar system and orbiting other nearby, bright stars.</t>
  </si>
  <si>
    <t>EswMsWT_1YI</t>
  </si>
  <si>
    <t>2018 04 18</t>
  </si>
  <si>
    <t>https://youtu.be/R8V40NgJnEs</t>
  </si>
  <si>
    <t>NASA's TESS Ready for Launch Atop Falcon 9</t>
  </si>
  <si>
    <t>A Falcon 9 rocket stands ready to boost NASA's Transiting Exoplanet Survey Satellite, or TESS, the next step in the search for planets outside the solar system. The mission is designed to find these planets, also known as "exoplanets," orbiting other nearby, bright stars. Exoplanets periodically blocking star's light while they transition across the astronomical object. TESS is scheduled to launch atop a Falcon 9 rocket at 6:51 p.m. from Space Launch Complex 40 at Cape Canaveral Air Force Station in Florida.</t>
  </si>
  <si>
    <t>R8V40NgJnEs</t>
  </si>
  <si>
    <t>https://youtu.be/wBCBThgIBmA</t>
  </si>
  <si>
    <t>Liftoff of TESS</t>
  </si>
  <si>
    <t>A Falcon 9 rocket lifts off at 6:51 p.m. EDT from Space Launch Complex 40 at Cape Canaveral Air Force Station carrying NASA's Transiting Exoplanet Survey Satellite, or TESS. It is the next step in the search for planets outside of the solar system and orbiting other nearby, bright stars. The mission is designed to find these planets, also known as "exoplanets," orbiting other nearby, bright stars periodically blocking their light while the planets transition across the astronomical object.</t>
  </si>
  <si>
    <t>wBCBThgIBmA</t>
  </si>
  <si>
    <t>https://youtu.be/wo-iDcad_LM</t>
  </si>
  <si>
    <t>TESS Spacecraft Separates from Falcon 9 upper stage</t>
  </si>
  <si>
    <t>A camera on the Falcon 9 upper stage shows NASA's Transiting Exoplanet Survey Satellite, or TESS, as it separates and is deployed into a highly elliptical orbit. Liftoff took place from Cape Canaveral Air Force Station's Space Launch Complex 40 at 6:51 p.m. EDT. The satellite is a NASA Astrophysics Explorer Mission led and operated by the Massachusetts Institute of Technology in Cambridge, Massachusetts, and managed by NASA’s Goddard Space Flight Center in Greenbelt, Maryland.</t>
  </si>
  <si>
    <t>wo-iDcad_LM</t>
  </si>
  <si>
    <t>https://youtu.be/3MOtjgFfAo4</t>
  </si>
  <si>
    <t>Exploration Research and Technology Spotlight on Mike Lester</t>
  </si>
  <si>
    <t>Mike Lester, Technology Transfer Partnership manager with Kennedy Space Center's Exploration Research and Technology Programs, helps to make space technologies available for use on Earth.</t>
  </si>
  <si>
    <t>3MOtjgFfAo4</t>
  </si>
  <si>
    <t>2018 04 14</t>
  </si>
  <si>
    <t>https://youtu.be/412fAEw1NTo</t>
  </si>
  <si>
    <t>TESS - Countdown to T-Zero  Keep It Clean</t>
  </si>
  <si>
    <t>NASA’s TESS spacecraft is about to embark on a daring mission to hunt for planets outside our solar system. TESS stands for Transiting Exoplanet Survey Satellite. In this episode, the spacecraft arrives in Florida and begins a final round of critical prelaunch testing before it’s ready to fly.</t>
  </si>
  <si>
    <t>412fAEw1NTo</t>
  </si>
  <si>
    <t>2018 04 13</t>
  </si>
  <si>
    <t>https://youtu.be/Rb4hNayHd9M</t>
  </si>
  <si>
    <t>Inside KSC! for April 13, 2018</t>
  </si>
  <si>
    <t>This week in space news, NASA's Transiting Exoplanet Survey Satellite is being prepared for launch on a SpaceX Falcon 9 rocket, and the Orion Stage Adapter arrives at Kennedy aboard the Super Guppy aircraft.</t>
  </si>
  <si>
    <t>Rb4hNayHd9M</t>
  </si>
  <si>
    <t>2018 04 11</t>
  </si>
  <si>
    <t>https://youtu.be/2eZyUuYvBUo</t>
  </si>
  <si>
    <t>Venture Class Launch Services  Small Rockets Carry Big Dreams</t>
  </si>
  <si>
    <t>Venture Class Launch Services short film was created by the VFX students at the DAVE School, in collaboration with the NASA Launch Services Program.  
Visual Effects Artists:
Matthew Bartley 
Gabriela Brandes
Jeremy Brouwer
Daniela Campos
Justin Capestany
Cameron Dees
Kyle Garand
Gerardo Garcia
Mario L. Garcia
Charmaine Gilbreath
Shelby Hinote
Brittany Hoxie
Gabriel Holguin
Samuel Jean-Baptiste
Jermelle Jovellanos
Mason Koopman
Stephen Otto
Gabrielle Perrigo
Shawn Pryor
Andrew Tafuri
Kaitlyn Watkins
Josh Wendler
Dane Williams
Directed by: Matt Killian
Written by: Alexander Llanos &amp; Matt Killian
VFX Supervisor: Anthony Marigliano 
VFX Coordinator: Monica Duncan
Original Music &amp; Sound Design by: Kays Alatrakchi</t>
  </si>
  <si>
    <t>2eZyUuYvBUo</t>
  </si>
  <si>
    <t>2018 04 06</t>
  </si>
  <si>
    <t>https://youtu.be/AHJA54Vq4zg</t>
  </si>
  <si>
    <t>Inside KSC! for April 6, 2018</t>
  </si>
  <si>
    <t>This week in space news, a SpaceX Falcon 9 rocket launches on a commercial resupply mission to the International Space Station, and members of the Exploration Mission 1 launch team simulate the propellant-loading portion of the Space Launch System rocket countdown.</t>
  </si>
  <si>
    <t>AHJA54Vq4zg</t>
  </si>
  <si>
    <t>2018 04 02</t>
  </si>
  <si>
    <t>https://youtu.be/-jcufWFosXM</t>
  </si>
  <si>
    <t>SpaceX CRS-14  Solar Arrays Deploy</t>
  </si>
  <si>
    <t>The solar arrays that will provide power to the SpaceX Dragon spacecraft deploy after a successful launch. Liftoff of the Falcon 9 carrying the Dragon spacecraft took place at 4:30 p.m. EDT from Space Launch Complex 40 at Florida's Cape Canaveral Air Force Station. The Dragon is carrying equipment, science and supplies to the International Space Station on SpaceX's 14th commercial cargo resupply mission.</t>
  </si>
  <si>
    <t>-jcufWFosXM</t>
  </si>
  <si>
    <t>https://youtu.be/RKJ806z423g</t>
  </si>
  <si>
    <t>SpaceX CRS-14  Spacecraft Separation</t>
  </si>
  <si>
    <t>The SpaceX Dragon spacecraft bound for the International Space Station separates from the second stage of the company's Falcon 9 rocket after a successful launch. Liftoff of the Falcon 9 took place at 4:30 p.m. EDT from Space Launch Complex 40 at Florida's Cape Canaveral Air Force Station. The Dragon is carrying equipment, science and supplies to the International Space Station on SpaceX's 14th commercial cargo resupply mission.</t>
  </si>
  <si>
    <t>RKJ806z423g</t>
  </si>
  <si>
    <t>https://youtu.be/Zw_mrx016cc</t>
  </si>
  <si>
    <t>SpaceX CRS-14  Broadcast Open</t>
  </si>
  <si>
    <t>Launch commentary begins for the countdown and launch of SpaceX CRS-14. The company's Falcon 9 rocket and Dragon spacecraft launched on time at 4:30 p.m. EDT on April 2, 2018 from Space Launch Complex 40 at Cape Canaveral Air Force Station in Florida. The Dragon is carrying equipment, science and supplies to the International Space Station on SpaceX's 14th commercial cargo resupply mission.</t>
  </si>
  <si>
    <t>Zw_mrx016cc</t>
  </si>
  <si>
    <t>https://youtu.be/WJEBW7QFgwc</t>
  </si>
  <si>
    <t>SpaceX CRS-14 Launch</t>
  </si>
  <si>
    <t>SpaceX CRS-14 begins with an on-time liftoff of the company's Falcon 9 rocket and Dragon spacecraft from Space Launch Complex 40 at Cape Canaveral Air Force Station in Florida. Launch occurred at 4:30 p.m. EDT. The Dragon is carrying equipment, science and supplies to the International Space Station on SpaceX's 14th commercial cargo resupply mission.</t>
  </si>
  <si>
    <t>WJEBW7QFgwc</t>
  </si>
  <si>
    <t>2018 03 30</t>
  </si>
  <si>
    <t>https://youtu.be/y4jY8rI_vm4</t>
  </si>
  <si>
    <t>Inside KSC! for March 30, 2018</t>
  </si>
  <si>
    <t>In space news this week, NASA and SpaceX prepare for the company's 14th commercial resupply mission to the International Space Station, and Kennedy Space Center celebrates Women's History Month.</t>
  </si>
  <si>
    <t>y4jY8rI_vm4</t>
  </si>
  <si>
    <t>2018 03 23</t>
  </si>
  <si>
    <t>https://youtu.be/JRQSVXq-F44</t>
  </si>
  <si>
    <t>Inside KSC! for March 23, 2018</t>
  </si>
  <si>
    <t>This week in space news, the last of the big swing arm umbilicals is installed on the mobile launcher, and researchers in Kennedy's Swamp Works show off a Zero Launch Mass 3-D printer currently in development that could be used for construction projects on the Moon and Mars.</t>
  </si>
  <si>
    <t>JRQSVXq-F44</t>
  </si>
  <si>
    <t>2018 03 22</t>
  </si>
  <si>
    <t>https://youtu.be/FfLIVGxNhxY</t>
  </si>
  <si>
    <t>GOES-S Atlas V Launch in 360</t>
  </si>
  <si>
    <t>NASA’s Launch Services Program, or LSP, and United Launch Alliance work together to enclose NOAA’s GOES-S satellite in its protective payload fairing, and move the Atlas V rocket – fairing and all – to the launch pad. Years of planning and coordination pay off with a successful liftoff, setting the stage for a busy year of launches ahead for LSP. GOES-S, the next in a series of advanced weather satellites, launched aboard the Atlas V on March 1, 2018.</t>
  </si>
  <si>
    <t>FfLIVGxNhxY</t>
  </si>
  <si>
    <t>2018 03 16</t>
  </si>
  <si>
    <t>https://youtu.be/od1IyeqcODw</t>
  </si>
  <si>
    <t>Inside KSC! for March 16, 2018</t>
  </si>
  <si>
    <t>In space news this week, the second stage of the United Launch Alliance Delta IV Heavy rocket for NASA's Parker Solar Probe is attached to its booster, and the Advanced Plant Habitat aboard the International Space Station yields two successful crops.</t>
  </si>
  <si>
    <t>od1IyeqcODw</t>
  </si>
  <si>
    <t>2018 03 15</t>
  </si>
  <si>
    <t>https://youtu.be/iyudA4h1fo4</t>
  </si>
  <si>
    <t>NASA's Crawler-Transporters Video Infographic</t>
  </si>
  <si>
    <t>Learn about NASA's crawler-transporters at Kennedy Space Center through this video infographic. The crawler-transporter will carry the agency's Orion spacecraft atop the Space Launch System rocket to Launch Pad 39B for Exploration Mission-1.</t>
  </si>
  <si>
    <t>iyudA4h1fo4</t>
  </si>
  <si>
    <t>2018 03 09</t>
  </si>
  <si>
    <t>https://youtu.be/Ne9gQVTU8bk</t>
  </si>
  <si>
    <t>GOES-S Countdown to T-Zero, Episode 5  T-0</t>
  </si>
  <si>
    <t>NASA’s Launch Services Program, or LSP, and United Launch Alliance work together to move the Atlas V rocket – payload and all – to the launch pad and launch! Years of planning and coordination pay off with a successful liftoff, setting the stage for a busy year of launches ahead for LSP. GOES-S, the next in a series of advanced weather satellites, launched aboard the Atlas V on March 1, 2018.</t>
  </si>
  <si>
    <t>Ne9gQVTU8bk</t>
  </si>
  <si>
    <t>https://youtu.be/Mz93Mr2pggc</t>
  </si>
  <si>
    <t>Inside KSC! for March 9, 2018</t>
  </si>
  <si>
    <t>In space news this week, NASA's Transiting Exoplanet Survey Satellite undergoes solar array deployment testing at Kennedy, and a handmade quilt honoring space shuttle Columbia and the seven-member crew of STS-107 is transferred to the center's Columbia Preservation Room.</t>
  </si>
  <si>
    <t>Mz93Mr2pggc</t>
  </si>
  <si>
    <t>2018 03 02</t>
  </si>
  <si>
    <t>https://youtu.be/nxClG4fRgeg</t>
  </si>
  <si>
    <t>Inside KSC! for March 2, 2018</t>
  </si>
  <si>
    <t>In space news this week, NOAA's Geostationary Operational Environmental Satellite, or GOES-S, successfully launched from Cape Canaveral Air Force Station aboard a United Launch Alliance Atlas V rocket and the Orion Crew Access Arm was installed on the Mobile Launcher.</t>
  </si>
  <si>
    <t>nxClG4fRgeg</t>
  </si>
  <si>
    <t>https://youtu.be/8NurvN8IhiA</t>
  </si>
  <si>
    <t>Following the successful liftoff of a United Launch Alliance Atlas V rocket with NOAA's Geostationary Operational Environmental Satellite, or GOES-S, NASA Launch Director Tim Dunn speaks with Mike Curie of NASA Communications.</t>
  </si>
  <si>
    <t>8NurvN8IhiA</t>
  </si>
  <si>
    <t>https://youtu.be/EbTJ1JZAAXM</t>
  </si>
  <si>
    <t>GOES-S Countdown to T-Zero, Episode 4  Ready to Roll</t>
  </si>
  <si>
    <t>NOAA's GOES-S is encapsulated in its payload fairing inside Astrotech Space Operations in Titusville, Florida, and transported to the Vertical Integration Facility at Space Launch Complex 41 at Cape Canaveral Air Force Station. It was hoisted up and secured to the United Launch Alliance Atlas V rocket. GOES-S, the next in a series of advanced weather satellites, launched aboard the Atlas V on March 1, 2018.</t>
  </si>
  <si>
    <t>EbTJ1JZAAXM</t>
  </si>
  <si>
    <t>2018 03 01</t>
  </si>
  <si>
    <t>https://youtu.be/4kasNrV773M</t>
  </si>
  <si>
    <t>Liftoff of GOES-S</t>
  </si>
  <si>
    <t>4kasNrV773M</t>
  </si>
  <si>
    <t>https://youtu.be/nAXkdFcea_g</t>
  </si>
  <si>
    <t>GOES-S, Atlas V are  Go  for Launch</t>
  </si>
  <si>
    <t>In the launch control at Cape Canaveral Air Force Station, NASA and contractor managers and engineers monitor progress in the countdown to launch NOAA's Geostationary Operational Environmental Satellite, or GOES-S. The poll confirms all is ready for liftoff. The GOES series of satellites will significantly improve the detection and observation of environmental phenomena that directly affect public safety, protection of property and the nation's economic health and prosperity. GOES-S is scheduled to lift off at 5:02 p.m. EST on March 1, 2018.</t>
  </si>
  <si>
    <t>nAXkdFcea_g</t>
  </si>
  <si>
    <t>https://youtu.be/iduNpPolL_A</t>
  </si>
  <si>
    <t>NASA's GOES-S Ready for Launch Atop Atlas V</t>
  </si>
  <si>
    <t>A United Launch Alliance Atlas V rocket stands ready to boost NOAA's Geostationary Operational Environmental Satellite, or GOES-S. The GOES series of satellites will significantly improve the detection and observation of environmental phenomena that directly affect public safety, protection of property and the nation's economic health and prosperity. GOES-S is slated to lift off at 5:02 p.m. EST on March 1, 2018.</t>
  </si>
  <si>
    <t>iduNpPolL_A</t>
  </si>
  <si>
    <t>2018 02 27</t>
  </si>
  <si>
    <t>https://youtu.be/gWC9WTQ2Blc</t>
  </si>
  <si>
    <t>GOES-S Countdown to T-Zero, Episode 3  Rocket Science</t>
  </si>
  <si>
    <t>The United Launch Alliance Atlas V rocket reaches another major milestone on the road to T-Zero, as NOAA's GOES-S spacecraft prepares for launch. Stacking the rocket begins with the booster - the largest component - and continues with the addition of four solid rocket motors and the Centaur upper stage. GOES-S, the next in a series of advanced weather satellites, is slated to launch aboard the Atlas V from Cape Canaveral Air Force Station in Florida.</t>
  </si>
  <si>
    <t>gWC9WTQ2Blc</t>
  </si>
  <si>
    <t>https://youtu.be/rXiVsNICHQM</t>
  </si>
  <si>
    <t>NASA's Mobile Launcher from a Bird's Eye View</t>
  </si>
  <si>
    <t>This video provides a bird's eye view of the crew access arm for the Orion spacecraft and Space launch System rocket being attached to the mobile launcher at NASA's Kennedy Space Ceneter in Florida.</t>
  </si>
  <si>
    <t>rXiVsNICHQM</t>
  </si>
  <si>
    <t>2018 02 23</t>
  </si>
  <si>
    <t>https://youtu.be/BYLt-30a7EU</t>
  </si>
  <si>
    <t>Inside KSC! for Feb. 23, 2018</t>
  </si>
  <si>
    <t>In space news this week, Vice President Mike Pence returned to Kennedy Space Center for a National Space Council meeting. The council advises the president on America's space policy and long-range goals. President Trump re-established the council in June 2017.</t>
  </si>
  <si>
    <t>BYLt-30a7EU</t>
  </si>
  <si>
    <t>2018 02 21</t>
  </si>
  <si>
    <t>https://youtu.be/Oiexrf3N9w0</t>
  </si>
  <si>
    <t>Welcome to America’s Multi-User Spaceport</t>
  </si>
  <si>
    <t>NASA’s Kennedy Space Center is a thriving spaceport where commercial companies and government entities work together to ensure America is leading in space.</t>
  </si>
  <si>
    <t>Oiexrf3N9w0</t>
  </si>
  <si>
    <t>https://youtu.be/V2ww2hFTWSg</t>
  </si>
  <si>
    <t>Vice President Pence Arrives at Kennedy Space Center for National Space Council Meeting</t>
  </si>
  <si>
    <t>Vice President Mike Pence arrived at the Shuttle Landing Facility at NASA’s Kennedy Space Center, Florida on Feb. 20 ahead of the second meeting of the National Space Council. Vice President Pence, and his wife Karen, were greeted by Robert Lightfoot, acting NASA Administrator and Brig. Gen. Wayne Monteith, commander, 45th space wing. 
On Feb. 21, Vice President Pence will lead the National Space Council meeting inside Kennedy’s Space Station Processing Facility. “Moon, Mars, and Worlds Beyond: Winning the Next Frontier” will include testimonials from leaders in the civil, commercial, and national security sectors about the importance of the United States’ space enterprise. The Vice President will conclude his visit with a tour of Kennedy Space Center.</t>
  </si>
  <si>
    <t>V2ww2hFTWSg</t>
  </si>
  <si>
    <t>2018 02 16</t>
  </si>
  <si>
    <t>https://youtu.be/kCrCrOC1n9s</t>
  </si>
  <si>
    <t>Inside KSC! for Feb. 16, 2018</t>
  </si>
  <si>
    <t>In space news this week, NOAA’s Geostationary Operational Environmental Satellite-S, next in a series of advanced weather satellites, has been secured inside the payload fairing that will protect it during its climb to space, and TESS, a spacecraft destined to search for exoplanets, is one step closer to liftoff after its arrival at the Payload Hazardous Servicing Facility.</t>
  </si>
  <si>
    <t>kCrCrOC1n9s</t>
  </si>
  <si>
    <t>2018 02 15</t>
  </si>
  <si>
    <t>https://youtu.be/zxnGaPBHXRA</t>
  </si>
  <si>
    <t>GOES-S Countdown to T-Zero, Episode 2  Special Delivery</t>
  </si>
  <si>
    <t>NOAA’s GOES-S spacecraft is one step closer in the final journey to T-zero, as the booster and Centaur upper stage arrive for inspection. These components will be used to stack the United Launch Alliance Atlas V rocket, which will launch the GOES-S advanced weather satellite from Cape Canaveral Air Force Station in Florida. Management of the launch service for GOES-S is the responsibility of NASA’s Launch Services Program based here at Kennedy.</t>
  </si>
  <si>
    <t>zxnGaPBHXRA</t>
  </si>
  <si>
    <t>2018 02 06</t>
  </si>
  <si>
    <t>https://youtu.be/q8vpU7ebtnI</t>
  </si>
  <si>
    <t>Did You Know... NASA's Vehicle Assembly Building</t>
  </si>
  <si>
    <t>What did it take to make NASA's iconic Vehicle Assembly Building? And how big is the American flag on the building? Learn the answers to those questions and more in this fact-filled animation.</t>
  </si>
  <si>
    <t>q8vpU7ebtnI</t>
  </si>
  <si>
    <t>2018 02 02</t>
  </si>
  <si>
    <t>https://youtu.be/z_xz-hPNYxk</t>
  </si>
  <si>
    <t>Inside KSC! for Feb. 2, 2018</t>
  </si>
  <si>
    <t>NASA’s Recovery Team, based at Kennedy Space Center, just wrapped up a week at sea completing Underway Recovery Test 6 in the Pacific Ocean to test and refine the procedures and equipment crews will need to recover the Orion spacecraft and astronauts onboard when they splash down at the end of future missions. Back in Florida, NASA and other officials gathered at Cape Canaveral Air Force Station’s Launch Complex 26 to mark the 60th anniversary of Explorer 1, which set our nation on a path to the stars and led to the discovery of radiation belts encircling the Earth.</t>
  </si>
  <si>
    <t>z_xz-hPNYxk</t>
  </si>
  <si>
    <t>2018 02 01</t>
  </si>
  <si>
    <t>https://youtu.be/RdWPclPyzis</t>
  </si>
  <si>
    <t>2018  A Busy Year for the Launch Services Program</t>
  </si>
  <si>
    <t>NASA's Launch Services Program at Kennedy Space Center in Florida has a big year ahead, with six primary NASA missions scheduled to launch from two different coasts, within six months, atop six different rocket configurations (five different rockets).</t>
  </si>
  <si>
    <t>RdWPclPyzis</t>
  </si>
  <si>
    <t>2018 01 31</t>
  </si>
  <si>
    <t>https://youtu.be/kNnVgnQ4zbw</t>
  </si>
  <si>
    <t>The Heartbeat of Exploration</t>
  </si>
  <si>
    <t>The Heartbeat of Exploration is the men and women of Exploration Ground Systems at NASA's Kennedy Space Center in Florida. Their day-to-day work is paving the way for future exploration beyond low-Earth orbit to destinations such as Mars.</t>
  </si>
  <si>
    <t>kNnVgnQ4zbw</t>
  </si>
  <si>
    <t>https://youtu.be/cRLKotcyOKA</t>
  </si>
  <si>
    <t>Hear the sounds and view the progress made by Exploration Ground Systems to transform NASA's Kennedy Space Center into a multi-user spaceport and be ready to support the agency's deep space missions, including the Journey to Mars.</t>
  </si>
  <si>
    <t>cRLKotcyOKA</t>
  </si>
  <si>
    <t>2018 01 26</t>
  </si>
  <si>
    <t>https://youtu.be/fQskhJ5_aRg</t>
  </si>
  <si>
    <t>Inside KSC! for Jan. 26, 2018</t>
  </si>
  <si>
    <t>Major components of the rocket that will launch an advanced weather satellite, GOES-S, were delivered to Port Canaveral on Monday, as launch on March 1 approaches. On Thursday, the crews of Apollo 1, Shuttle Challenger, Shuttle Columbia, and others who gave their lives in the pursuit of space exploration were honored on NASA’s Day of Remembrance. Their names are cut into the surface of the Space Mirror Memorial at the Kennedy Space Center Visitor Complex.</t>
  </si>
  <si>
    <t>fQskhJ5_aRg</t>
  </si>
  <si>
    <t>2018 01 19</t>
  </si>
  <si>
    <t>https://youtu.be/B6Q_OXef1Qc</t>
  </si>
  <si>
    <t>Inside KSC! for Jan. 19, 2018</t>
  </si>
  <si>
    <t>The next in a series of advanced weather satellites continues prelaunch processing at Astrotech Space Operations in Titusville, near Kennedy Space Center. Known as GOES-S, it is the first of six primary missions for LSP in 2018. On center last week, Director Bob Cabana spoke to the Kennedy workforce to give a preview of GOES-S and other launches scheduled in the exciting year ahead.</t>
  </si>
  <si>
    <t>B6Q_OXef1Qc</t>
  </si>
  <si>
    <t>2018 01 12</t>
  </si>
  <si>
    <t>https://youtu.be/dJB9v4cjBLU</t>
  </si>
  <si>
    <t>Inside KSC! Jan. 12, 2018</t>
  </si>
  <si>
    <t>NASA remembers the accomplishments and legacy of astronaut John Young. A veteran of six spaceflights, Young joined the agency in 1962 and flew missions on three generations of NASA spacecraft, including STS-1, the first flight of the space shuttle. Young died Jan. 5 at the age of 87.</t>
  </si>
  <si>
    <t>dJB9v4cjBLU</t>
  </si>
  <si>
    <t>2018 01 05</t>
  </si>
  <si>
    <t>https://youtu.be/IEMusBb6x6A</t>
  </si>
  <si>
    <t>Inside KSC! for Jan. 5, 2018</t>
  </si>
  <si>
    <t>NASA's Kennedy Space Center ushered out 2017 with a bang as guests at the Kennedy Space Center Visitor Complex were treated to a special program, Holidays in Space. On center, a water deluge test was completed at Launch Pad 39B to prepare for the launch of NASA's Space Launch System rocket and Orion spacecraft.</t>
  </si>
  <si>
    <t>IEMusBb6x6A</t>
  </si>
  <si>
    <t>2017 12 21</t>
  </si>
  <si>
    <t>https://youtu.be/rhBSaWJyLoA</t>
  </si>
  <si>
    <t>GOES-S Countdown to T-Zero, Episode 1  Launch Fever</t>
  </si>
  <si>
    <t>NOAA’s GOES-S spacecraft, the next in a series of advanced weather satellites, arrives at NASA’s Kennedy Space Center aboard a U.S. Air Force C-5 Super Galaxy aircraft. The satellite’s arrival at the Florida spaceport, followed by its move into the Astrotech Space Operations processing facility in nearby Titusville, signal the start of the final journey to T-zero. GOES-S is slated to launch aboard a United Launch Alliance Atlas V rocket from Cape Canaveral Air Force Station in Florida.</t>
  </si>
  <si>
    <t>rhBSaWJyLoA</t>
  </si>
  <si>
    <t>https://youtu.be/i3FXDgt56Yo</t>
  </si>
  <si>
    <t>U.S. Air Force Maj. Robert Lawrence Tribute</t>
  </si>
  <si>
    <t>NASA leaders and the Astronauts Memorial Foundation (AMF) recently paused to honor U.S. Air Force Maj. Robert Lawrence, the first African-American astronaut. He lost his life in a training accident 50 years ago.</t>
  </si>
  <si>
    <t>i3FXDgt56Yo</t>
  </si>
  <si>
    <t>2017 12 20</t>
  </si>
  <si>
    <t>https://youtu.be/C2dZs0gTyJ4</t>
  </si>
  <si>
    <t>Watch a 360-Degree View of the JPSS-1 Launch atop a Delta II</t>
  </si>
  <si>
    <t>Watch in 360-degrees, for the first time ever, a United Launch Alliance Delta II rocket as it lifts off from Space Launch Complex 2 at Vandenberg Air Force Base in California carrying the Joint Polar Satellite System-1, or JPSS-1, spacecraft. Built by Ball Aerospace and Technologies Corp. of Boulder, Colorado, JPSS is the first in a series four next-generation environmental satellites in a collaborative program between NOAA and NASA. Liftoff occurred on Nov. 18, 2017 at 1:47 a.m. PST (4:47 a.m. EST).</t>
  </si>
  <si>
    <t>C2dZs0gTyJ4</t>
  </si>
  <si>
    <t>https://youtu.be/UVnrb_Z2Wnk</t>
  </si>
  <si>
    <t>Progress for NASA's Commercial Crew Program</t>
  </si>
  <si>
    <t>A look back at recent progress in NASA’s Commercial Crew Program. The agency is moving closer to achieving that goal of launching astronauts from American soil.</t>
  </si>
  <si>
    <t>UVnrb_Z2Wnk</t>
  </si>
  <si>
    <t>2017 12 15</t>
  </si>
  <si>
    <t>https://youtu.be/xX86z9ESsbU</t>
  </si>
  <si>
    <t>Inside KSC! Dec. 15, 2017</t>
  </si>
  <si>
    <t>NOAA's GOES-S satellite is beginning prelaunch processing activities in the Astrotech Space Operations facility in nearby Titusville for launch on March 1. At the Kennedy Space Center Visitor Complex, U.S. Air Force Maj. Robert Lawrence, the first African-American astronaut, was honored with a ceremony in the Center for Space Education. He lost his life in a training accident 50 years ago.</t>
  </si>
  <si>
    <t>xX86z9ESsbU</t>
  </si>
  <si>
    <t>https://youtu.be/d3haTESabYI</t>
  </si>
  <si>
    <t>SpaceX CRS-13 Liftoff</t>
  </si>
  <si>
    <t>The SpaceX CRS-13 mission begins with an on-time liftoff of the company's Falcon 9 rocket and Dragon spacecraft from Space Launch Complex 40 at Cape Canaveral Air Force Station in Florida. Launch occurred at 10:36 a.m. EST. The Dragon is carrying equipment, science and supplies to the International Space Station on SpaceX's 13th commercial cargo resupply mission.</t>
  </si>
  <si>
    <t>d3haTESabYI</t>
  </si>
  <si>
    <t>2017 12 13</t>
  </si>
  <si>
    <t>https://youtu.be/HICi-1pNWl4</t>
  </si>
  <si>
    <t>NASA Astronauts on ISS Enjoy 2018 CCP Calendar Artwork</t>
  </si>
  <si>
    <t>NASA astronauts Mark Vande Hei and Joe Acaba pause from their duties aboard the International Space Station to compliment the children's artwork filling the new 2018 Commercial Crew Calendar. Vande Hei and Acaba noted the calendar will help them keep track of their time in orbit and pointed out the artists, who range in age from four to 12, are at just the right age to one day walk on Mars.</t>
  </si>
  <si>
    <t>HICi-1pNWl4</t>
  </si>
  <si>
    <t>2017 12 08</t>
  </si>
  <si>
    <t>https://youtu.be/thuW1S1MN8k</t>
  </si>
  <si>
    <t>CubeSats  Small Satellites, Big Dreams</t>
  </si>
  <si>
    <t>NASA’s CubeSat Launch Initiative provides opportunities for small satellite payloads built by universities, high schools and non-profit organizations to fly on upcoming launches. Through innovative technology partnerships, NASA provides CubeSat developers a low-cost pathway to conduct scientific investigations and technology demonstrations in space - enabling students, teachers and faculty to obtain hands-on flight hardware development experience.</t>
  </si>
  <si>
    <t>thuW1S1MN8k</t>
  </si>
  <si>
    <t>https://youtu.be/NUvYpi-3riY</t>
  </si>
  <si>
    <t>Inside KSC! for Dec. 8, 2017</t>
  </si>
  <si>
    <t>NOAA's Geostationary Operational Environmental Satellite-S, or GOES-S, arrived Monday and was transported to the Astrotech Space Operations facility near Kennedy Space Center where it will be prepared for its scheduled launch March 1, 2018. On center, Kennedy workers enjoyed refreshments and exchanged holiday greetings during the 2017 Center Director's Holiday Coffee, a festive annual event hosted by Center Director Bob Cabana.</t>
  </si>
  <si>
    <t>NUvYpi-3riY</t>
  </si>
  <si>
    <t>2017 12 01</t>
  </si>
  <si>
    <t>https://youtu.be/w-AXR0PZ9FA</t>
  </si>
  <si>
    <t>Inside KSC! for Dec. 1, 2017</t>
  </si>
  <si>
    <t>The upcoming liftoff of a SpaceX Falcon 9 rocket on CRS-13 will be the first this year from Space Launch Complex 40 at Cape Canaveral Air Force Station. At NASA's Kennedy Space Center, the agency has kicked off its annual Combined Federal Campaign. The CFC is the world's largest workplace giving effort providing civil-service personnel an opportunity to voluntarily support a wide variety of charities.</t>
  </si>
  <si>
    <t>w-AXR0PZ9FA</t>
  </si>
  <si>
    <t>2017 11 22</t>
  </si>
  <si>
    <t>https://youtu.be/b_pdFAGov1k</t>
  </si>
  <si>
    <t>Inside KSC! for Nov. 22, 2017</t>
  </si>
  <si>
    <t>NOAA's Joint Polar Satellite System-1, or JPSS-1, successfully launched atop a United Launch Alliance Delta II rocket from Vandenberg Air Force Base in California early Saturday morning. The JPSS spacecraft is the first in a series of four highly advanced polar-orbiting satellites in a collaborative program between NOAA and NASA.</t>
  </si>
  <si>
    <t>b_pdFAGov1k</t>
  </si>
  <si>
    <t>2017 11 18</t>
  </si>
  <si>
    <t>https://youtu.be/xZybdTO4vhQ</t>
  </si>
  <si>
    <t>Launch Manager Omar Baez Talks about NOAA's JPSS-1 Launch</t>
  </si>
  <si>
    <t>NASA commentators Josh Finch, left, and Mike Curie, right, talk with NASA Launch Manager Omar Baez inside the Delta II Launch Control Center at Vandenberg Air Force Base in California. Launch of NOAA's Joint Polar Satellite System-1 (JPSS-1) atop a United Launch Alliance Delta II rocket occurred at 1:47 a.m. PST (4:47 a.m. EST) on Nov. 18, 2017.</t>
  </si>
  <si>
    <t>xZybdTO4vhQ</t>
  </si>
  <si>
    <t>https://youtu.be/EzOHR-ZxJFM</t>
  </si>
  <si>
    <t>NOAA's JPSS-1 Separates from Delta II Second Stage</t>
  </si>
  <si>
    <t>Flying 440 nautical miles over the Indian Ocean, NOAA's Joint Polar Satellite System-1, or JPSS-1, spacecraft has separated from the second stage of the United Launch Alliance Delta II rocket that delivered it to orbit this morning, Nov. 18, 2017.</t>
  </si>
  <si>
    <t>EzOHR-ZxJFM</t>
  </si>
  <si>
    <t>https://youtu.be/a6XtN8xJu4c</t>
  </si>
  <si>
    <t>Liftoff! NOAA's JPSS-1 Launches atop a Delta II Rocket on Nov. 18</t>
  </si>
  <si>
    <t>The United Launch Alliance Delta II rocket lifted off from Space Launch Complex 2 at Vandenberg Air Force Base in California, carrying NOAA's Joint Polar Satellite System-1 (JPSS-1). Launch occurred at 1:47 a.m. PST (4:47 a.m. EST).</t>
  </si>
  <si>
    <t>a6XtN8xJu4c</t>
  </si>
  <si>
    <t>https://youtu.be/VRZnHlNupAs</t>
  </si>
  <si>
    <t>Launch Team Confirms NOAA's JPSS-1 Ready for Liftoff Nov. 18</t>
  </si>
  <si>
    <t>Launch managers poll the launch team to confirm that NOAA's Joint Polar Satellite System-1 (JPSS-1) is ready for launch atop the United Launch Alliance Delta II rocket at 1:47 a.m. PST (4:47 a.m. EST) from Space Launch Complex 2 at Vandenberg Air Force Base in California on Nov. 18, 2017.</t>
  </si>
  <si>
    <t>VRZnHlNupAs</t>
  </si>
  <si>
    <t>https://youtu.be/mbezAsKXhP4</t>
  </si>
  <si>
    <t>Broadcast Coverage Begins for NOAA's JPSS-1 Launch on Nov. 18</t>
  </si>
  <si>
    <t>NOAA's Joint Polar Satellite System-1 (JPSS-1) is set to launch Nov. 18, 2017, atop a United Launch Alliance Delta II rocket from Space Launch Complex 2 at Vandenberg Air Force Base in California. Liftoff is scheduled for 1:47 a.m. PST (4:47 a.m. EST).</t>
  </si>
  <si>
    <t>mbezAsKXhP4</t>
  </si>
  <si>
    <t>2017 11 17</t>
  </si>
  <si>
    <t>https://youtu.be/evmi8moXA1w</t>
  </si>
  <si>
    <t>Inside KSC! for Nov. 17, 2017</t>
  </si>
  <si>
    <t>The crew access arm that will serve as the astronauts' bridge to the Orion spacecraft recently was moved to the mobile launcher tower, progress toward launching NASA astronauts from American soil. At the Kennedy Space Center Visitor Complex, a memorial wreath was placed in the Heroes and Legends exhibit for astronaut Dick Gordon, who died Nov. 6 at the age of 88.</t>
  </si>
  <si>
    <t>evmi8moXA1w</t>
  </si>
  <si>
    <t>2017 11 15</t>
  </si>
  <si>
    <t>https://youtu.be/cZo_YJIvQY0</t>
  </si>
  <si>
    <t>Second Attempt of NOAA's JPSS-1 Launch Scrubbed for Nov. 15</t>
  </si>
  <si>
    <t>The second launch attempt of NOAA's Joint Polar Satellite System-1, or JPSS-1, on a United Launch Alliance Delta II rocket from Vandenberg Air Force Base in California has been scrubbed. Launch team managers made the decision due to upper level wind conditions that would not be cleared at the time of launch.</t>
  </si>
  <si>
    <t>cZo_YJIvQY0</t>
  </si>
  <si>
    <t>2017 11 14</t>
  </si>
  <si>
    <t>https://youtu.be/s7pfiopx-mk</t>
  </si>
  <si>
    <t>Launch Team Provides Prelaunch Status of NOAA's JPSS-1 Mission</t>
  </si>
  <si>
    <t>The launch conductor polls the launch team during a status check for NOAA's JPSS-1 mission inside the Delta Launch Control Center at Vandenberg Air Force Base in California.</t>
  </si>
  <si>
    <t>s7pfiopx-mk</t>
  </si>
  <si>
    <t>https://youtu.be/i4qrkeoJzzo</t>
  </si>
  <si>
    <t>Launch of NOAA's JPSS-1 on a Delta II Rocket Scrubbed for Nov. 14</t>
  </si>
  <si>
    <t>The launch of a United Launch Alliance Delta II carrying the JPSS-1 mission for NASA and NOAA was scrubbed Nov. 14, 2017, due to a red range and a late launch vehicle alarm. Due to the short window there was insufficient time to fully coordinate a resolution.
The launch is planned for Wednesday, Nov. 15, from Space Launch Complex-2 at Vandenberg Air Force Base in California. The launch time is 1:47 a.m. PT (4:47 a.m. ET).</t>
  </si>
  <si>
    <t>i4qrkeoJzzo</t>
  </si>
  <si>
    <t>https://youtu.be/CeODP0cZlKI</t>
  </si>
  <si>
    <t>NASA Launch Manager Provides Update on JPSS-1 Launch Scrub</t>
  </si>
  <si>
    <t>NASA Launch Manager Omar Baez, with the Launch Services Program, provides an update on this morning's scrub of the launch attempt for NOAA's Joint Polar Satellite System 1, during an interview in the Launch Control Center at Vandenberg Air Force Base in California. The scrub for today's launch attempt occurred just before the T-4 minute countdown was to begin.</t>
  </si>
  <si>
    <t>CeODP0cZlKI</t>
  </si>
  <si>
    <t>https://youtu.be/jLGQRnZXBl8</t>
  </si>
  <si>
    <t>Commentary Begins for Launch of NOAA's JPSS-1 Mission</t>
  </si>
  <si>
    <t>Live commentary begins at 4:15 a.m. EST on Nov. 14, 2017, at Vandenberg Air Force Base in California for the launch of NOAA's Joint Polar Satellite System 1 (JPSS-1) aboard a United Launch Alliance Delta II rocket.</t>
  </si>
  <si>
    <t>jLGQRnZXBl8</t>
  </si>
  <si>
    <t>2017 11 13</t>
  </si>
  <si>
    <t>https://youtu.be/RRsQsOcKy0Y</t>
  </si>
  <si>
    <t>NASA Ready to Launch NOAA's JPSS-1 on Delta II Rocket</t>
  </si>
  <si>
    <t>The United Launch Alliance Delta II rocket is stacked and prepared to launch NOAA's Joint Polar Satellite System-1 from Space Launch Complex 2 at Vandenberg Air Force Base in California. Liftoff is targeted for 1:47 a.m. PST (4:47 a.m. EST) on Nov. 14, 2017.</t>
  </si>
  <si>
    <t>RRsQsOcKy0Y</t>
  </si>
  <si>
    <t>https://youtu.be/6Fj-EjeNuK4</t>
  </si>
  <si>
    <t>NASA Counts Down for Final Two Missions on the Delta II Rocket</t>
  </si>
  <si>
    <t>Tim Dunn, with NASA's Launch Services Program, reviews the history of the venerable Delta II rocket and its use by the agency to launch a variety of science spacecraft. NASA will launch only two more missions on the Delta II, including NOAA's JPSS-1 spacecraft..</t>
  </si>
  <si>
    <t>6Fj-EjeNuK4</t>
  </si>
  <si>
    <t>https://youtu.be/F96URIjEiXU</t>
  </si>
  <si>
    <t>Inside KSC! for Nov. 13, 2017</t>
  </si>
  <si>
    <t>Preflight processing for the Space Launch System rocket's first flight is officially underway with the handoff of the rocket's Interim Cryogenic Propulsion Stage, or ICPS, to Kennedy's Ground Systems Development and Operations Directorate. Also, Kennedy employees take part in Energy Action Day by hearing from a panel of solar-energy experts who offered presentations on how to reduce home energy use, NASA’s use of solar power, and more.</t>
  </si>
  <si>
    <t>F96URIjEiXU</t>
  </si>
  <si>
    <t>2017 11 03</t>
  </si>
  <si>
    <t>https://youtu.be/VNuoOK4bBVg</t>
  </si>
  <si>
    <t>Inside KSC! for Nov. 3, 2017</t>
  </si>
  <si>
    <t>New ideas were flowing at the KSC KickStart, an annual competition at Kennedy Space Center that gives employees the chance to offer up their innovative proposals to be analyzed by a panel of senior leaders. On the International Space Station, astronauts enjoyed a harvest day recently, cutting three varieties of leafy greens from the Veggie growth chamber aboard the orbiting laboratory.</t>
  </si>
  <si>
    <t>VNuoOK4bBVg</t>
  </si>
  <si>
    <t>2017 11 02</t>
  </si>
  <si>
    <t>https://youtu.be/A_CzxCGM5mU</t>
  </si>
  <si>
    <t>KSC’s IDEAS Working to Make Ground Operations Safer and More Efficient</t>
  </si>
  <si>
    <t>In a few short years of development with a small, agile team, the Integrated Display and Environmental Awareness System (IDEAS) team created a software package capable of all critical aspects of ground operations, with integrated communications, situational awareness, and work instructions built into a compact set of smart-glasses. This tool makes the engineers and technicians who use the device safer and more efficient with an easy to use device.</t>
  </si>
  <si>
    <t>A_CzxCGM5mU</t>
  </si>
  <si>
    <t>2017 10 20</t>
  </si>
  <si>
    <t>https://youtu.be/3UZa1RvOVFU</t>
  </si>
  <si>
    <t>Inside KSC! for Oct. 20, 2017</t>
  </si>
  <si>
    <t>The Kennedy Space Center recently took further steps in NASA's efforts to send humans beyond low-Earth orbit as the core stage inter-tank umbilical, or CSITU, was lifted to the mobile launcher for a fit check. The mobile launcher's crew access arm also was transported from Precision Fabricating and Cleaning in Cocoa, Florida, to the center.</t>
  </si>
  <si>
    <t>3UZa1RvOVFU</t>
  </si>
  <si>
    <t>2017 10 16</t>
  </si>
  <si>
    <t>https://youtu.be/Y5LXs9AfF9g</t>
  </si>
  <si>
    <t>Exploration Research and Technology Spotlight on Drew Smith</t>
  </si>
  <si>
    <t>Drew Smith, robotics engineer in the Exploration Research and Technology Programs at NASA's Kennedy Space Center in Florida, develops technologies for surface systems that will help NASA have a sustained presence on the Moon or Mars.</t>
  </si>
  <si>
    <t>Y5LXs9AfF9g</t>
  </si>
  <si>
    <t>2017 10 13</t>
  </si>
  <si>
    <t>https://youtu.be/-z08EcIFWns</t>
  </si>
  <si>
    <t>Inside KSC! for Oct. 13, 2017</t>
  </si>
  <si>
    <t>Kennedy's Disability Awareness and Action Working Group celebrated 25 years of assisting center employees. The organization, known as DAAWG, serves as advocates on behalf of individuals with disabilities. Meanwhile, the Joint Polar Satellite System-1, or JPSS-1, is being prepared by members of the spacecraft team at Vandenberg Air Force Base in California for its upcoming launch.</t>
  </si>
  <si>
    <t>-z08EcIFWns</t>
  </si>
  <si>
    <t>https://youtu.be/QHpp7nfoECg</t>
  </si>
  <si>
    <t>NASA's Spacecraft 3D Augmented Reality App</t>
  </si>
  <si>
    <t>This brief video tutorial teaches you how to use NASA's Spacecraft 3D -- an augmented reality (AR) application that lets you learn about and interact with a variety of spacecraft that are used to explore our solar system, study Earth, and observe the universe!</t>
  </si>
  <si>
    <t>QHpp7nfoECg</t>
  </si>
  <si>
    <t>2017 09 29</t>
  </si>
  <si>
    <t>https://youtu.be/gwRYz2Np1DU</t>
  </si>
  <si>
    <t>Inside KSC! for Sept. 29, 2017</t>
  </si>
  <si>
    <t>The first major integrated operation at Launch Pad 39B began this week with the initial tanking of a cryogenic fuel, liquid oxygen, into a giant sphere at the northwest corner of the pad. Construction of new facilities and demolition of outdated facilities also continued as Kennedy Space Center completes the transition to a multi-user spaceport.</t>
  </si>
  <si>
    <t>gwRYz2Np1DU</t>
  </si>
  <si>
    <t>2017 09 21</t>
  </si>
  <si>
    <t>https://youtu.be/8KvF56EAP1I</t>
  </si>
  <si>
    <t>A 360 Look at the Launch of TDRS-M</t>
  </si>
  <si>
    <t>Take a 360 dive into the launch of NASA's TDRSM satellite! From spacecraft encapsulation, to roll out, to launch, discover a new experience amid the flames at the launch pad.</t>
  </si>
  <si>
    <t>8KvF56EAP1I</t>
  </si>
  <si>
    <t>2017 09 18</t>
  </si>
  <si>
    <t>https://youtu.be/o73TwIUKpPY</t>
  </si>
  <si>
    <t>NASA's Cassini Spacecraft Makes Grand Finale Plunge</t>
  </si>
  <si>
    <t>NASA's Cassini spacecraft made its final grand finale plunge into Saturn's atmosphere Sept. 15, 2017. Chuck Dovale, deputy manager of the Launch Services Program  (LSP), talks about the mission and LSP's overall support to process the Cassini-Huygens spacecraft and prepare it for launch Oct. 15, 1997.</t>
  </si>
  <si>
    <t>o73TwIUKpPY</t>
  </si>
  <si>
    <t>2017 09 07</t>
  </si>
  <si>
    <t>https://youtu.be/2XrSFTwWRHQ</t>
  </si>
  <si>
    <t>Inside KSC! for Sept. 8, 2017</t>
  </si>
  <si>
    <t>The last of the major components of a United Launch Alliance Delta IV Heavy rocket slated to launch NASA’s Parker Solar Probe were delivered last week aboard the company ship, Mariner. Meanwhile, Kennedy Space Center is taking precautions ahead of the possible arrival of Hurricane Irma during the next few days. The powerful storm is predicted to affect Florida as a possible Category 4 or 5 hurricane.</t>
  </si>
  <si>
    <t>2XrSFTwWRHQ</t>
  </si>
  <si>
    <t>2017 09 01</t>
  </si>
  <si>
    <t>https://youtu.be/7_aSiC60I6c</t>
  </si>
  <si>
    <t>Inside KSC! for Sept. 1, 2017</t>
  </si>
  <si>
    <t>Employees at NASA's Kennedy Space Center and residents along Florida's Space Coast are hearing a familiar sound -- sonic booms -- the results of a program called Sonic Booms in Atmospheric Turbulence, or SonicBAT II, employing F-18 jets. Back on center, a major milestone for NASA's Orion Program was achieved when the spacecraft destined for Exploration Mission-1 was successfully powered up for the first time.</t>
  </si>
  <si>
    <t>7_aSiC60I6c</t>
  </si>
  <si>
    <t>2017 08 25</t>
  </si>
  <si>
    <t>https://youtu.be/2C525utItf8</t>
  </si>
  <si>
    <t>Inside KSC! for Aug. 25, 2017</t>
  </si>
  <si>
    <t>A United Launch Alliance Atlas V lifted off from Cape Canaveral Air Force Station's Space Launch Complex 41, boosting NASA's Tracking and Data Relay Satellite-M to orbit. Kennedy Space Center employees also joined Americans from coast to coast on Monday to witness the solar eclipse.</t>
  </si>
  <si>
    <t>2C525utItf8</t>
  </si>
  <si>
    <t>2017 08 18</t>
  </si>
  <si>
    <t>https://youtu.be/wh4UB6jEZzs</t>
  </si>
  <si>
    <t>TDRS-M Post-Launch Inteview with Launch Director Tim Dunn</t>
  </si>
  <si>
    <t>NASA Commentator Mike Curie talks to TDRS-M Launch Director Tim Dunn about the successful launch of the spacecraft atop the Atlas V rocket this morning. Liftoff was at 8:29 a.m. EDT from Space Launch Complex 41 at Cape Canaveral Air Force Station in Florida.</t>
  </si>
  <si>
    <t>wh4UB6jEZzs</t>
  </si>
  <si>
    <t>https://youtu.be/Tl5dE44vbsM</t>
  </si>
  <si>
    <t>TDRS-M Spacecraft Separation</t>
  </si>
  <si>
    <t>The TDRS-M spacecraft successfully separates from the Centaur upper stage following this morning's launch aboard an Atlas V rocket that lifted off at 8:29 a.m. EDT from Space Launch Complex 41 at Cape Canaveral Air Force Station in Florida.</t>
  </si>
  <si>
    <t>Tl5dE44vbsM</t>
  </si>
  <si>
    <t>https://youtu.be/EiV2fiFhmf4</t>
  </si>
  <si>
    <t>Atlas V Rocket Launches with TDRS-M Satellite</t>
  </si>
  <si>
    <t>The Tracking and Data Relay Satellite-M (TDRS-M) launches atop a United Launch Alliance Atlas V rocket from Space Launch Complex 41 at Cape Canaveral Air Force Station in Florida. Launch time was 8:29 a.m. EDT.</t>
  </si>
  <si>
    <t>EiV2fiFhmf4</t>
  </si>
  <si>
    <t>https://youtu.be/DATel9n1oM4</t>
  </si>
  <si>
    <t>Launch Director Polls Managers for TDRS-M Launch</t>
  </si>
  <si>
    <t>Launch Director Tim Dunn polls managers and engineers for status of "go for launch" of the Tracking and Data Relay Satellite-M (TDRS-M) atop the United Launch Alliance Atlas V rocket from Space Launch Complex 41.</t>
  </si>
  <si>
    <t>DATel9n1oM4</t>
  </si>
  <si>
    <t>2017 08 17</t>
  </si>
  <si>
    <t>https://youtu.be/aPMn_C70VM0</t>
  </si>
  <si>
    <t>Inside KSC! for Aug. 18, 2017</t>
  </si>
  <si>
    <t>The week kicked off with the spectacular liftoff of a SpaceX Falcon 9 rocket and Dragon spacecraft, the company's 12th commercial resupply mission to the International Space Station. Also this week, Acting NASA Administrator Robert Lightfoot and Associate Administrator Lesa Roe visited Kennedy to address the spaceport workforce about how they're working with the new administration.</t>
  </si>
  <si>
    <t>aPMn_C70VM0</t>
  </si>
  <si>
    <t>2017 08 16</t>
  </si>
  <si>
    <t>https://youtu.be/lDcqMK7S4y0</t>
  </si>
  <si>
    <t>NASA Commercial Crew  Partnering with American Industry</t>
  </si>
  <si>
    <t>NASA's Commercial Crew Program is partnering with American industry to return human spaceflight to the United States. NASA is working to turn over low-Earth orbit astronaut transportation to commercial companies, Boeing and SpaceX, allowing the agency to fully utilize the International Space Station - our tested for deep space exploration.</t>
  </si>
  <si>
    <t>lDcqMK7S4y0</t>
  </si>
  <si>
    <t>2017 08 14</t>
  </si>
  <si>
    <t>https://youtu.be/5e_TNLem-DU</t>
  </si>
  <si>
    <t>SpaceX CRS-12 Launches to the International Space Station</t>
  </si>
  <si>
    <t>The SpaceX Falcon 9 rocket lifts off at 12:31 p.m. EDT, with the Dragon cargo module on its journey to the International Space Station. Dragon will deliver more than 6,400 pounds of research equipment, cargo and supplies to the space station during SpaceX's 12th commercial resupply services mission to the space station for NASA.</t>
  </si>
  <si>
    <t>5e_TNLem-DU</t>
  </si>
  <si>
    <t>2017 08 11</t>
  </si>
  <si>
    <t>https://youtu.be/3WDhh4XLyng</t>
  </si>
  <si>
    <t>Inside KSC! for Aug. 11, 2017</t>
  </si>
  <si>
    <t>The United Launch Alliance Centaur upper stage is in place at the pad to help give NASA's newest Tracking and Data Relay Satellite, TDRS-M, a boost into orbit. Meanwhile, in the Astrotech processing facility in nearby Titusville, the TDRS-M satellite was sealed inside the payload fairing, one of the last steps before it moves to the launch complex.</t>
  </si>
  <si>
    <t>3WDhh4XLyng</t>
  </si>
  <si>
    <t>2017 08 04</t>
  </si>
  <si>
    <t>https://youtu.be/4boOJo3H5HE</t>
  </si>
  <si>
    <t>Inside KSC! for Aug. 4, 2017</t>
  </si>
  <si>
    <t>Rocket components for NASA's upcoming Parker Solar Probe mission arrived aboard United Launch Alliance's Mariner at Port Canaveral. New service platforms for NASA's Space Launch System rocket also arrived at Kennedy Space Center and were secured inside the Vehicle Assembly Building.</t>
  </si>
  <si>
    <t>4boOJo3H5HE</t>
  </si>
  <si>
    <t>2017 07 28</t>
  </si>
  <si>
    <t>https://youtu.be/6a2lLmtxDYA</t>
  </si>
  <si>
    <t>Inside KSC! for July 28, 2017</t>
  </si>
  <si>
    <t>The flame trench beneath Launch Pad 39B is being upgraded to support the launch of the Space Launch System rocket as its Interim Cryogenic Propulsion Stage, or ICPS, moved to the Space Station Processing Facility high bay.</t>
  </si>
  <si>
    <t>6a2lLmtxDYA</t>
  </si>
  <si>
    <t>2017 07 21</t>
  </si>
  <si>
    <t>https://youtu.be/bTRa1JuwFSw</t>
  </si>
  <si>
    <t>Inside KSC! for July 21, 2017</t>
  </si>
  <si>
    <t>The food production team at Kennedy Space Center recently hosted a two-day exchange of ideas on this technology crucial for long-duration flights to deep space destinations. Educators also gathered at Kennedy's Center for Space Education to brainstorm new ways to teach science, technology, engineering and math, or STEM.</t>
  </si>
  <si>
    <t>bTRa1JuwFSw</t>
  </si>
  <si>
    <t>2017 07 19</t>
  </si>
  <si>
    <t>https://youtu.be/jAu3_ad7GtI</t>
  </si>
  <si>
    <t>Resource Prospector Mobility Test</t>
  </si>
  <si>
    <t>Description for YouTube:
The Resource Prospector mobility team tests a lightweight simulator in Kennedy Space Center's regolith bin to simulate how the prospector will drive on the moon in the coming years. NASA’s Resource Prospector mission, which is in pre-formulation, aims to be the first mining expedition on another world. Using a suite of instruments to locate elements from a lunar polar region, the planned rover is designed to excavate volatiles such as hydrogen, oxygen and water from the moon. Building on the findings of the Lunar Crater Observation and Sensing Satellite (LCROSS) and Lunar Reconnaissance Orbiter (LRO) missions that proved the existence of water on the moon, Resource Prospector plans to take the next step and harvest those resources.</t>
  </si>
  <si>
    <t>jAu3_ad7GtI</t>
  </si>
  <si>
    <t>https://youtu.be/pUBZPIg5nj0</t>
  </si>
  <si>
    <t>Exploration Research and Technology Spotlight on Ye Zhang</t>
  </si>
  <si>
    <t>Dr. Ye Zhang, research chemist in the Exploration Research and Technology Programs at NASA's Kennedy Space Center in Florida, studies microgravity research platforms and collaborates on plant research that will allow astronauts to grow crops in space.</t>
  </si>
  <si>
    <t>pUBZPIg5nj0</t>
  </si>
  <si>
    <t>2017 07 14</t>
  </si>
  <si>
    <t>https://youtu.be/-RLRf83T4Mo</t>
  </si>
  <si>
    <t>Inside KSC! for July 14, 2017</t>
  </si>
  <si>
    <t>The United Launch Alliance Atlas V first stage booster for NASA's next mission, TDRS-M, was transported from the Atlas Spaceflight Operations Center at Cape Canaveral Air Force Station to Space Launch Complex 41 to begin preparations for launch on Aug. 3. At Kennedy Space Center nearby, the turn basin wharf is undergoing upgrades to handle NASA’s new Space Launch System rocket.</t>
  </si>
  <si>
    <t>-RLRf83T4Mo</t>
  </si>
  <si>
    <t>2017 07 07</t>
  </si>
  <si>
    <t>https://youtu.be/zh5W5cEp_hQ</t>
  </si>
  <si>
    <t>Inside KSC! for July 7, 2017</t>
  </si>
  <si>
    <t>Vice President Mike Pence visited Kennedy Space Center this week to talk to the workforce and see how the transformation of the spaceport has shaped the prospects for space exploration by NASA and in partnership with aerospace industry.</t>
  </si>
  <si>
    <t>zh5W5cEp_hQ</t>
  </si>
  <si>
    <t>2017 07 06</t>
  </si>
  <si>
    <t>https://youtu.be/3qW9q3rEK6M</t>
  </si>
  <si>
    <t>Vice President Pence Visits NASA, Hails New Era in Space</t>
  </si>
  <si>
    <t>Vice President Mike Pence got a first-hand look at the public-private partnerships at America's multi-user spaceport on Thursday, July 6, during a visit to NASA's Kennedy Space Center in Florida. The Vice President started his visit at Shuttle Landing Facility, the former space shuttle landing strip now leased and operated by Space Florida. Speaking in the center's iconic Vehicle Assembly Building, Pence thanked employees for their commitment to America's continued leadership in the space frontier. He then embarked on a spaceport tour showcasing both NASA and commercial work that will soon lead to U.S.-based astronaut launches and eventual missions into deep space. The tour included a visit to the Neil Armstrong Operations and Checkout Building, where the Orion spacecraft is being prepped for its first integrated flight with the Space Launch System (SLS) in 2019.</t>
  </si>
  <si>
    <t>3qW9q3rEK6M</t>
  </si>
  <si>
    <t>2017 06 30</t>
  </si>
  <si>
    <t>https://youtu.be/DrJpVeTs5jM</t>
  </si>
  <si>
    <t>Inside KSC! for June 30, 2017</t>
  </si>
  <si>
    <t>The TDRS-M satellite arrived June 23 aboard a U.S. Air Force cargo aircraft and was moved to the nearby Astrotech Space Operations Facility. The first-stage booster and Centaur upper stage for the mission's Atlas V rocket also were delivered to Cape Canaveral Air Force Station early this week.</t>
  </si>
  <si>
    <t>DrJpVeTs5jM</t>
  </si>
  <si>
    <t>2017 06 29</t>
  </si>
  <si>
    <t>https://youtu.be/WCIX1jGvt98</t>
  </si>
  <si>
    <t>Launching Cassini Leaves Legacy of Lasting Pride</t>
  </si>
  <si>
    <t>As NASA's Cassini spacecraft spends its last few weeks in orbit around Saturn before making a controlled impact with the planet in what NASA dubbed Cassini's "Grand Finale," some of those who helped launch the mission 20 years ago are thrilled with the success of the massive probe they helped dispatch to one of the solar system's most intriguing worlds. Read more: https://go.nasa.gov/2tq0YfY</t>
  </si>
  <si>
    <t>WCIX1jGvt98</t>
  </si>
  <si>
    <t>2017 06 23</t>
  </si>
  <si>
    <t>https://youtu.be/FKF1D8BFzKU</t>
  </si>
  <si>
    <t>Inside KSC! for June 23, 2017</t>
  </si>
  <si>
    <t>As the Cosmic Ray Energetics and Mass investigation – also known as CREAM – is prepared for its upcoming launch aboard SpaceX CRS-12 later this summer, Portable Breathing Apparatuses, or PBAs, that will eventually make their way to the International Space Station are being filled.</t>
  </si>
  <si>
    <t>FKF1D8BFzKU</t>
  </si>
  <si>
    <t>2017 06 21</t>
  </si>
  <si>
    <t>https://youtu.be/fRwj7InhQlI</t>
  </si>
  <si>
    <t>NASA's KSC Ally Video</t>
  </si>
  <si>
    <t>The LGBT community is a vibrant part of the NASA family and Kennedy Space Center is committed to inclusion.  The Allies program highlights KSC’s commitment to the lesbian, gay, bisexual and transgender employees as valued members of this team – one of the finest teams in the world.  Diversity is the one thing we all have in common. We celebrate it every day.</t>
  </si>
  <si>
    <t>fRwj7InhQlI</t>
  </si>
  <si>
    <t>2017 06 16</t>
  </si>
  <si>
    <t>https://youtu.be/4w8NGn6xZiw</t>
  </si>
  <si>
    <t>Inside KSC! for June 16, 2017</t>
  </si>
  <si>
    <t>Kennedy Space Center Director Bob Cabana shared details about the center's ongoing transformation into a multi-user spaceport with about 200 officials and business leaders across Central Florida. Meanwhile, researchers at Kennedy's Swamp Works are modifying an electrostatic precipitator – an existing technology used to clean up power plant plumes - to help remove dust from valuable elements in the Martian atmosphere.</t>
  </si>
  <si>
    <t>4w8NGn6xZiw</t>
  </si>
  <si>
    <t>2017 06 09</t>
  </si>
  <si>
    <t>https://youtu.be/STfb-vYwCkM</t>
  </si>
  <si>
    <t>Inside KSC! for June 9, 2017</t>
  </si>
  <si>
    <t>A SpaceX Falcon 9 roared into orbit from historic Launch Complex 39A at NASA's Kennedy Space Center to begin the latest resupply run to the International Space Station. The Kennedy Space Center Visitor Complex kicked off its “Summer of Mars” promotion with the unveiling of a futuristic Mars rover concept vehicle and a visit from former astronaut Mark Kelly, who talked about his one-year stay on the International Space Station.</t>
  </si>
  <si>
    <t>STfb-vYwCkM</t>
  </si>
  <si>
    <t>2017 06 03</t>
  </si>
  <si>
    <t>https://youtu.be/_Qienunq0dk</t>
  </si>
  <si>
    <t>SpaceX CRS-11 Liftoff</t>
  </si>
  <si>
    <t>The SpaceX CRS-11 Falcon 9 rocket lifts off from Launch Complex 39A at NASA's Kennedy Space Center sending a Dragon spacecraft on the company's 11th commercial resupply services mission to the International Space Station. Liftoff was at 5:07 p.m. EDT.</t>
  </si>
  <si>
    <t>_Qienunq0dk</t>
  </si>
  <si>
    <t>2017 06 02</t>
  </si>
  <si>
    <t>https://youtu.be/bct3VIhqLYw</t>
  </si>
  <si>
    <t>Inside KSC! for June 2, 2017</t>
  </si>
  <si>
    <t>Preparations are underway to launch the latest resupply run to the International Space Station. Another SpaceX Falcon 9 will lift off from historic Launch Complex 39A. The Dragon spacecraft will spend about a month attached to the space station and return to Earth in early July. The spacecraft is filled with supplies and experiments for more than 250 science and research investigations - all prepared in Kennedy’s world-class Space Station Processing Facility.</t>
  </si>
  <si>
    <t>bct3VIhqLYw</t>
  </si>
  <si>
    <t>2017 05 26</t>
  </si>
  <si>
    <t>https://youtu.be/K0iN5Ac46iw</t>
  </si>
  <si>
    <t>Inside KSC for May 26, 2017</t>
  </si>
  <si>
    <t>The Kennedy Space Center Visitor Complex has been a busy place recently with the induction of two veteran NASA astronauts into the U.S. Astronaut Hall of Fame and the participation of more than 40 teams of undergraduate and graduate students in NASA's eighth annual Robotic Mining Competition.</t>
  </si>
  <si>
    <t>K0iN5Ac46iw</t>
  </si>
  <si>
    <t>2017 05 25</t>
  </si>
  <si>
    <t>https://youtu.be/hZFWwMILyF8</t>
  </si>
  <si>
    <t>Kennedy Space Center's Launch Services Program - Recent &amp; Upcoming Missions</t>
  </si>
  <si>
    <t>Take a look back at the recent missions of NASA's Launch Services Program and see what's ahead.</t>
  </si>
  <si>
    <t>hZFWwMILyF8</t>
  </si>
  <si>
    <t>2017 05 19</t>
  </si>
  <si>
    <t>https://youtu.be/L-Vm7Vt-F0Q</t>
  </si>
  <si>
    <t>Inside KSC! for May 19, 2017</t>
  </si>
  <si>
    <t>A set of eight new support posts were installed on the mobile launcher, where they'll support the load of the Space Launch System rocket. Meanwhile, NASA's Orion crew module will have its up-righting system and three main parachutes installed.</t>
  </si>
  <si>
    <t>L-Vm7Vt-F0Q</t>
  </si>
  <si>
    <t>2017 05 12</t>
  </si>
  <si>
    <t>https://youtu.be/6X7x2jvGeYc</t>
  </si>
  <si>
    <t>Inside KSC! For May 12, 2017</t>
  </si>
  <si>
    <t>This week, go Inside KSC where workers placed the last heat-resistant brick in the flame trench of Launch Complex 39B and see the ceremony honoring the latest class of "Chroniclers" who have told Kennedy's story for the public.</t>
  </si>
  <si>
    <t>6X7x2jvGeYc</t>
  </si>
  <si>
    <t>2017 05 05</t>
  </si>
  <si>
    <t>https://youtu.be/wwiD0MT_M70</t>
  </si>
  <si>
    <t>Inside KSC! for May 5, 2017</t>
  </si>
  <si>
    <t>The Orion structural test article was packed inside NASA's Super Guppy aircraft at Kennedy for shipment to Lockheed Martin's Denver facility. Meanwhile, NASA’s Eighth Annual First Nations Launch Competition, managed for NASA by Kennedy's education team, was held in Kansasville, Wisconsin.</t>
  </si>
  <si>
    <t>wwiD0MT_M70</t>
  </si>
  <si>
    <t>2017 04 28</t>
  </si>
  <si>
    <t>https://youtu.be/Wy1NkpdEXHo</t>
  </si>
  <si>
    <t>Cygnus Spacecraft, Atlas V Rocket Prepared for Orbital ATK CRS-7</t>
  </si>
  <si>
    <t>NASA is preparing to send a 7,600-pound care package to the International Space Station on Orbital ATK's seventh commercial resupply services mission. The Cygnus module will get a boost into orbit aboard the United Launch Alliance Atlas V rocket. Watch as the Cygnus spacecraft and Atlas V rocket components are assembled and prepared for liftoff.</t>
  </si>
  <si>
    <t>Wy1NkpdEXHo</t>
  </si>
  <si>
    <t>https://youtu.be/HareXOAtaZo</t>
  </si>
  <si>
    <t>Inside KSC! for April 28, 2017</t>
  </si>
  <si>
    <t>Dozens of little robots descended on the Kennedy Space Center Visitor Complex for the second annual Swarmathon competition. Kennedy also hosted a two days of events that focused on stewardship and sustainability in honor of Earth Day.</t>
  </si>
  <si>
    <t>HareXOAtaZo</t>
  </si>
  <si>
    <t>2017 04 24</t>
  </si>
  <si>
    <t>https://youtu.be/V9MxDez33po</t>
  </si>
  <si>
    <t>Kennedy Space Center in a Time of Transition</t>
  </si>
  <si>
    <t>See Kennedy Space Center Director Bob Cabana’s opening presentation for the panel discussion “The Center Directors in a Time of Transition,” delivered at the 33rd Space Symposium in Colorado Springs, Colorado.</t>
  </si>
  <si>
    <t>V9MxDez33po</t>
  </si>
  <si>
    <t>2017 04 21</t>
  </si>
  <si>
    <t>https://youtu.be/gU7KpkVLZ_g</t>
  </si>
  <si>
    <t>Kennedy Marks 20th Anniversary of Cassini Arrival</t>
  </si>
  <si>
    <t>NASA's Cassini spacecraft arrived at Kennedy Space Center 20 years ago to begin processing for launch on a mission that would see it deliver spectacular images and data from the ringed planet Saturn. As the massive spacecraft begins its final chapter, engineers at Kennedy took a look back to how their contributions to the mission began.</t>
  </si>
  <si>
    <t>gU7KpkVLZ_g</t>
  </si>
  <si>
    <t>https://youtu.be/tQimE2eXzXo</t>
  </si>
  <si>
    <t>Inside KSC! for April 21, 2017</t>
  </si>
  <si>
    <t>A United Launch Alliance Atlas V rocket carrying the Orbital ATK Cygnus spacecraft on its seventh commercial resupply services mission roared into space over Kennedy Space Center on Tuesday. Cygnus was loaded at Kennedy and will deliver more than 7,600 pounds of science research, crew supplies, and hardware to the International Space Station.</t>
  </si>
  <si>
    <t>tQimE2eXzXo</t>
  </si>
  <si>
    <t>2017 04 18</t>
  </si>
  <si>
    <t>https://youtu.be/aO3Mhd2Ncyk</t>
  </si>
  <si>
    <t>Interview with Kennedy Space Center Director Bob Cabana</t>
  </si>
  <si>
    <t>NASA launch commentator George Diller interviews Kennedy Space Center Director Bob Cabana following the successful launch of a Cygnus spacecraft carrying more than 7,600 pounds of supplies on the Orbital ATK CRS-7 mission to the International Space Station. Cabana discusses Diller's long career with NASA and the many times he served as launch commentator.</t>
  </si>
  <si>
    <t>aO3Mhd2Ncyk</t>
  </si>
  <si>
    <t>https://youtu.be/KpTYjvqh2Do</t>
  </si>
  <si>
    <t>Interview with Vern Thorp of United Launch Alliance</t>
  </si>
  <si>
    <t>NASA launch commentator George Diller interviews Vern Thorp, Program Manager for Commercial Missions, United Launch Alliance, following the successful launch of an Atlas V rocket with a Cygnus spacecraft carrying more than 7,600 pounds of supplies on the Orbital ATK CRS-7 mission to the International Space Station.</t>
  </si>
  <si>
    <t>KpTYjvqh2Do</t>
  </si>
  <si>
    <t>https://youtu.be/-w2PzJFoFFY</t>
  </si>
  <si>
    <t>Orbital ATK CRS-7 Cygnus Spacecraft Separation</t>
  </si>
  <si>
    <t>The Cygnus spacecraft separates from the Centaur upper stage of an Atlas V rocket minutes after liftoff as it continues on a commercial resupply services mission to the International Space Station. Liftoff took place at Cape Canaveral Air Force Station's Space Launch Complex 41 at 11:11 a.m. EDT.</t>
  </si>
  <si>
    <t>-w2PzJFoFFY</t>
  </si>
  <si>
    <t>https://youtu.be/tGxVZSjNPls</t>
  </si>
  <si>
    <t>Orbital ATK CRS-7 Lifts off</t>
  </si>
  <si>
    <t>A United Launch Alliance Atlas V rocket lifts off from Space Launch Complex 41 at Cape Canaveral Air Force Station. Liftoff was at 11:11 a.m. EDT. The Orbital ATK CRS-7 Cygnus spacecraft on a commercial resupply services mission to deliver 7,600 pounds of supplies to the International Space Station</t>
  </si>
  <si>
    <t>tGxVZSjNPls</t>
  </si>
  <si>
    <t>https://youtu.be/wP78v3vXqQE</t>
  </si>
  <si>
    <t>Atlas V Ready for Launch Cygnus Spacecraft</t>
  </si>
  <si>
    <t>In the Atlas Launch Control Center at Cape Canaveral Air Force Station, NASA and contractor managers and engineers monitor progress in the countdown to launch a United Launch Alliance Atlas V rocket. The launch vehicle will boost an Orbital ATK Cygnus spacecraft on a commercial resupply mission delivering cargo to the International Space Station.</t>
  </si>
  <si>
    <t>wP78v3vXqQE</t>
  </si>
  <si>
    <t>https://youtu.be/H_Mv-kKDi6s</t>
  </si>
  <si>
    <t>Countdown Underway for Orbital ATK CRS-7</t>
  </si>
  <si>
    <t>A United Launch Alliance Atlas V rocket stands ready to lift off from Cape Canaveral Air Force Station's Space Launch Complex 41. The Orbital ATK CRS-7 mission is to boost a Cygnus spacecraft on a commercial resupply services mission delivering 7,600 pounds of supplies to the International Space Station.</t>
  </si>
  <si>
    <t>H_Mv-kKDi6s</t>
  </si>
  <si>
    <t>https://youtu.be/4zbQAZpeP58</t>
  </si>
  <si>
    <t>Orbital ATK CRS-7 Atlas V Rolls to Launch Pad</t>
  </si>
  <si>
    <t>The United Launch Alliance Atlas V rocket carrying the Orbital ATK Cygnus module rolls to Cape Canaveral Air Force Station's Launch Pad 41 in this time-lapse video. The rollout is in preparation for the Orbital ATK CRS-7 mission to deliver supplies to the International Space Station.</t>
  </si>
  <si>
    <t>4zbQAZpeP58</t>
  </si>
  <si>
    <t>2017 04 14</t>
  </si>
  <si>
    <t>https://youtu.be/HpQXV7gXjYU</t>
  </si>
  <si>
    <t>Inside KSC! for April 14, 2017</t>
  </si>
  <si>
    <t>The Orion crew module that traveled beyond low-Earth orbit on Exploration Flight Test 1 in 2014 was moved from the Neil Armstrong Operations and Checkout Building to nearby Kennedy Space Center Visitor Complex. On track to launch next week is Orbital ATK's CRS-7 commercial resupply services mission to the International Space Station.</t>
  </si>
  <si>
    <t>HpQXV7gXjYU</t>
  </si>
  <si>
    <t>2017 04 13</t>
  </si>
  <si>
    <t>https://youtu.be/BLJBVkLVGHE</t>
  </si>
  <si>
    <t xml:space="preserve">What Does A Cubesat Do </t>
  </si>
  <si>
    <t>CubeSats offer flexibility and opportunity to students, engineers and researchers who want to study weather, evaluate materials and parts or observe deep space. In other words, it's up to the imagination what a CubeSat can do.
For more information on NASA’s CubeSat Launch Initiative visit
http://go.nasa.gov/CubeSat_initiative
Produced by NASA’s Launch Services Program</t>
  </si>
  <si>
    <t>BLJBVkLVGHE</t>
  </si>
  <si>
    <t>https://youtu.be/pnRdIyIWI0k</t>
  </si>
  <si>
    <t xml:space="preserve">How Do CubeSats Get Into Orbit </t>
  </si>
  <si>
    <t>CubeSats catch a ride into space on rockets that have extra room for the small spacecraft. 
For more information on NASA’s CubeSat Launch Initiative visit
http://go.nasa.gov/CubeSat_initiative
Produced by NASA’s Launch Services Program</t>
  </si>
  <si>
    <t>pnRdIyIWI0k</t>
  </si>
  <si>
    <t>https://youtu.be/HZMiJ_Q47qk</t>
  </si>
  <si>
    <t xml:space="preserve">What Is A CubeSat </t>
  </si>
  <si>
    <t>Learn the basics of CubeSats, the small spacecraft that schools, universities and institutions are designing and building to perform missions previously requiring massive, expensive satellites.
For more information on NASA’s CubeSat Launch Initiative visit
http://go.nasa.gov/CubeSat_initiative
Produced by NASA’s Launch Services Program</t>
  </si>
  <si>
    <t>HZMiJ_Q47qk</t>
  </si>
  <si>
    <t>https://youtu.be/QEwLE3An32Q</t>
  </si>
  <si>
    <t>Orbital ATK Cygnus Cargo Module Ready for Delivery to International Space Station</t>
  </si>
  <si>
    <t>The Orbital ATK Cygnus pressurized cargo module is packed with science experiments, supplies and hardware for delivery to the International Space Station on CRS-7. Orbital ATK's seventh commercial resupply services mission will launch atop a United Launch Alliance Atlas V rocket from Cape Canaveral Air Force Station in Florida.</t>
  </si>
  <si>
    <t>QEwLE3An32Q</t>
  </si>
  <si>
    <t>2017 04 07</t>
  </si>
  <si>
    <t>https://youtu.be/TY_qZ0jc5Mw</t>
  </si>
  <si>
    <t>Inside KSC! for April 7, 2017</t>
  </si>
  <si>
    <t>United Launch Alliance recently tested an emergency evacuation system at Space Launch Complex 41. NASA also renamed its Radiological Control Center in honor of Randy Scott, a health physicist and Kennedy's radiation protection officer.</t>
  </si>
  <si>
    <t>TY_qZ0jc5Mw</t>
  </si>
  <si>
    <t>2017 03 31</t>
  </si>
  <si>
    <t>https://youtu.be/gAMANsAqU4I</t>
  </si>
  <si>
    <t>Inside KSC! for March 31, 2017</t>
  </si>
  <si>
    <t>Crawler-transporter 2 rolled part of the way to Launch Complex 39B, tracking over much of the same path it will take in the future. OneWeb broke ground on the first satellite production facility at the spaceport's Exploration Park. NASA's Engineering Management Board toured the Vehicle Assembly Building and its new fixtures for SLS and Orion processing.</t>
  </si>
  <si>
    <t>gAMANsAqU4I</t>
  </si>
  <si>
    <t>2017 03 24</t>
  </si>
  <si>
    <t>https://youtu.be/UPU7dVe-3fU</t>
  </si>
  <si>
    <t>Inside KSC! for March 24, 2017</t>
  </si>
  <si>
    <t>The Orbital ATK Cygnus spacecraft is sealed inside its protective payload fairing in preparation for the next cargo resupply mission to the International Space Station. Meanwhile, the Orion Service Module Umbilical that will transfer liquid coolant for the electronics and air to the Orion service module for use on the Environmental Control System is now in place on the mobile launch tower.</t>
  </si>
  <si>
    <t>UPU7dVe-3fU</t>
  </si>
  <si>
    <t>2017 03 17</t>
  </si>
  <si>
    <t>https://youtu.be/1KWi3MLvbZ8</t>
  </si>
  <si>
    <t>Inside KSC! para el 17 de Marzo de 2017</t>
  </si>
  <si>
    <t>La primera pieza integrada de hardware de vuelo llega al Centro Espacial Kennedy en preparación para Exploration Mission-1, el viaje inaugural del cohete Space Launch System de la NASA. Además, una plantilla de tamaño de vuelo de la nave espacial CST-100 Starliner de Boeing toca en White Sands Missile Range del Ejército durante una prueba de paracaídas. Boeing está desarrollando el Starliner en asociación con el Programa de Tripulación Comercial de la NASA.</t>
  </si>
  <si>
    <t>1KWi3MLvbZ8</t>
  </si>
  <si>
    <t>https://youtu.be/4SSZTpxrEOA</t>
  </si>
  <si>
    <t>Inside KSC! for March 17, 2017</t>
  </si>
  <si>
    <t>The first integrated piece of flight hardware arrives at Kennedy Space Center in preparation for Exploration Mission-1, the maiden voyage of NASA's Space Launch System rocket. Also, a flight-sized boilerplate of Boeing's CST-100 Starliner spacecraft touches down at the Army's White Sands Missile Range during a parachute test. Boeing is developing the Starliner in partnership with NASA's Commercial Crew Program.</t>
  </si>
  <si>
    <t>4SSZTpxrEOA</t>
  </si>
  <si>
    <t>2017 03 10</t>
  </si>
  <si>
    <t>https://youtu.be/sJzpIZV0Kcw</t>
  </si>
  <si>
    <t>Parachute Campaign Tests Designs to Provide Astronauts a Soft Landing</t>
  </si>
  <si>
    <t>A flight-sized boilerplate of Boeing’s CST-100 Starliner touched down gently under parachutes against the backdrop of the San Andres Mountains in late February, providing a preview of how the spacecraft will return to Earth in upcoming NASA missions. Boeing is developing the Starliner to take astronauts to and from the International Space Station in partnership with NASA’s Commercial Crew Program. The parachute test is one in a series that will allow the vehicle to pick up the same velocity as the actual spacecraft when returning to Earth in the southwest region of the United States from the International Space Station. The goal of the test series is to prove the design of the Starliner’s parachutes.</t>
  </si>
  <si>
    <t>sJzpIZV0Kcw</t>
  </si>
  <si>
    <t>https://youtu.be/VJlNJxc1lTY</t>
  </si>
  <si>
    <t>Inside KSC! for March 10, 2017</t>
  </si>
  <si>
    <t>Members of the news media recently were given an up-close view some of that work as the Cygnus spacecraft was undergoing final preparations in Kennedy's Payload Hazardous Servicing Facility. Leaders of the Kennedy Space Center's Launch Services Program recently hosted a customer forum. NASA's Associate Administrator for Human Exploration and Operations Bill Gerstenmaier joined Center Director Bob Cabana in recognizing the outstanding achievements of government and contractor employees during an Honor Awards ceremony.</t>
  </si>
  <si>
    <t>VJlNJxc1lTY</t>
  </si>
  <si>
    <t>2017 03 03</t>
  </si>
  <si>
    <t>https://youtu.be/xfBMfrLjZVs</t>
  </si>
  <si>
    <t>Inside KSC! for March 3, 2017</t>
  </si>
  <si>
    <t>NASA's Kennedy Space Center recently celebrated Engineers Week. Employees had opportunities to learn about some of the latest developments in the field. Orbital ATK continues preparations to launch a Cygnus spacecraft for a Commercial Resupply Services mission to the International Space Station.</t>
  </si>
  <si>
    <t>xfBMfrLjZVs</t>
  </si>
  <si>
    <t>2017 03 02</t>
  </si>
  <si>
    <t>https://youtu.be/zrz16s2ajDE</t>
  </si>
  <si>
    <t>Scientists Prepare NASA's Advanced Plant Habitat Science Carrier</t>
  </si>
  <si>
    <t>Scientists insert Apogee wheat seeds in the science carrier, or base, of NASA's Advanced Plant Habitat inside a laboratory at the Space Station Processing Facility at Kennedy Space Center in Florida. A growing substrate called arcillite was packed down in the base and coverings were secured on top of the base.</t>
  </si>
  <si>
    <t>zrz16s2ajDE</t>
  </si>
  <si>
    <t>2017 02 24</t>
  </si>
  <si>
    <t>https://youtu.be/3e0-pS19PXM</t>
  </si>
  <si>
    <t>Inside KSC! for Feb. 24, 2017</t>
  </si>
  <si>
    <t>With a successful liftoff from Kennedy Space Center's historic Launch Complex 39A, a SpaceX Falcon 9 rocket began its mission to deliver cargo to resupply the International Space Station. Teams from nearly every program and organization at Kennedy have had a role in the transition that led up to this spectacular liftoff.</t>
  </si>
  <si>
    <t>3e0-pS19PXM</t>
  </si>
  <si>
    <t>2017 02 22</t>
  </si>
  <si>
    <t>https://youtu.be/vgYBGSEDNHk</t>
  </si>
  <si>
    <t>Liftoff in UHD of SpaceX Falcon 9 on CRS-10 Mission</t>
  </si>
  <si>
    <t>Watch the launch of the SpaceX CRS-10 mission in ultra-high definition/4K resolution! Liftoff took place Feb. 19, 2017, from Launch Complex 39A at NASA's Kennedy Space Center in Florida.</t>
  </si>
  <si>
    <t>vgYBGSEDNHk</t>
  </si>
  <si>
    <t>2017 02 19</t>
  </si>
  <si>
    <t>https://youtu.be/mzEloqzys3Y</t>
  </si>
  <si>
    <t>Liftoff of SpaceX CRS-10</t>
  </si>
  <si>
    <t>The SpaceX Falcon 9 rocket launches from Launch Complex 39A at Kennedy Space Center in Florida. The launch vehicle is carrying a Dragon spacecraft on SpaceX CRS-10, the company's tenth commercial resupply services mission to deliver cargo to the International Space Station.</t>
  </si>
  <si>
    <t>mzEloqzys3Y</t>
  </si>
  <si>
    <t>2017 02 18</t>
  </si>
  <si>
    <t>https://youtu.be/eS3sNVT7IKo</t>
  </si>
  <si>
    <t>The Launch Complex 39A Legacy</t>
  </si>
  <si>
    <t>The construction of Launch Complex 39A was tailored to the needs of  the Apollo/Saturn V missions to send astronauts to the moon.</t>
  </si>
  <si>
    <t>eS3sNVT7IKo</t>
  </si>
  <si>
    <t>https://youtu.be/mMu3SG8_Zjc</t>
  </si>
  <si>
    <t>CRS-10 Launch Marks Return of LC-39A</t>
  </si>
  <si>
    <t>The Great American Gateway to Space will debut for the CRS-10 launch in its latest form after SpaceX refurbished and modified the launch pad at NASA's Kennedy Space Center in Florida for use by the company's Falcon rockets and Dragon spacecraft.</t>
  </si>
  <si>
    <t>mMu3SG8_Zjc</t>
  </si>
  <si>
    <t>2017 02 17</t>
  </si>
  <si>
    <t>https://youtu.be/7JCEyyDmiPw</t>
  </si>
  <si>
    <t>Inside KSC! for Feb. 17, 2017</t>
  </si>
  <si>
    <t>SpaceX prepares to launch a Falcon 9 rocket from historic Launch Complex 39A on the company's 10th cargo resupply mission to the International Space Station, and spaceflight veterans Michael Foale and Ellen Ochoa are named as this year's inductees to the U.S. Astronaut Hall of Fame.</t>
  </si>
  <si>
    <t>7JCEyyDmiPw</t>
  </si>
  <si>
    <t>https://youtu.be/iANQC6i1m14</t>
  </si>
  <si>
    <t>Milestone Achieved with Final Work Platform Installation in Vehicle Assembly Building</t>
  </si>
  <si>
    <t>NASA and contractor platform team members talk about the design, planning and installation of ten levels of new work platforms in High Bay 3 of the Vehicle Assembly Building at NASA's Kennedy Space Center in Florida. Twenty platform halves will surround and provide access to NASA's Space Launch System and Orion spacecraft during processing.</t>
  </si>
  <si>
    <t>iANQC6i1m14</t>
  </si>
  <si>
    <t>2017 02 10</t>
  </si>
  <si>
    <t>https://youtu.be/rbfVMiNMTFE</t>
  </si>
  <si>
    <t>Inside KSC! for Feb. 10, 2017</t>
  </si>
  <si>
    <t>The service module for Orbital ATK's seventh commercial resupply services mission to the International Space Station arrived at Kennedy Space Center on Feb. 1 and was transported to the Space Station Processing Facility, the same day that the forward skirt for the left-hand solid rocket booster of NASA's Space Launch System rocket arrived at Cape Canaveral Air Force Station and was transported to Hangar AF.</t>
  </si>
  <si>
    <t>rbfVMiNMTFE</t>
  </si>
  <si>
    <t>2017 02 08</t>
  </si>
  <si>
    <t>https://youtu.be/IJjGUd5VG84</t>
  </si>
  <si>
    <t>Time Lapse of Work Platforms Installed in the Vehicle Assembly Building</t>
  </si>
  <si>
    <t>Time lapse of the new work platforms for NASA's Space Launch System rocket and Orion spacecraft installed in High Bay 3 of the Vehicle Assembly Building at the agency's Kennedy Space Center in Florida.</t>
  </si>
  <si>
    <t>IJjGUd5VG84</t>
  </si>
  <si>
    <t>2017 02 03</t>
  </si>
  <si>
    <t>https://youtu.be/a-DaDOWwB-Y</t>
  </si>
  <si>
    <t>Inside KSC! for Feb. 3, 2017</t>
  </si>
  <si>
    <t>Family members of fallen astronauts joined NASA officials at Kennedy Space Center's Day of Remembrance. A new tribute unveiled at the Apollo/Saturn V Center pays respect to the ultimate sacrifice made by the Apollo 1 crew members, who perished in a fire at the launch pad during a countdown dress rehearsal January 27, 1967.</t>
  </si>
  <si>
    <t>a-DaDOWwB-Y</t>
  </si>
  <si>
    <t>2017 01 30</t>
  </si>
  <si>
    <t>https://youtu.be/-Stl3hKI9Io</t>
  </si>
  <si>
    <t>Inside KSC! for Jan. 30, 2017</t>
  </si>
  <si>
    <t>Boeing unveiled the new spacesuit astronauts will wear while flying missions aboard the company's CST-100 Starliner. Testing also was completed on the Core Stage Forward Skirt Umbilical for NASA’s Space Launch System rocket.</t>
  </si>
  <si>
    <t>-Stl3hKI9Io</t>
  </si>
  <si>
    <t>2017 01 27</t>
  </si>
  <si>
    <t>https://youtu.be/05xdq6W9kRs</t>
  </si>
  <si>
    <t>NASA Opens Tribute to Apollo 1 Crew</t>
  </si>
  <si>
    <t>NASA opened a new tribute to the crew of Apollo 1 who perished in a fire at the launch pad on Jan. 27, 1967, during training for the mission. The tribute highlights the lives and careers of astronauts Gus Grissom, Ed White II and Roger Chaffee who were lost during the fire. The tribute at the Apollo/Saturn V Center at NASA's Kennedy Space Center opened Jan. 27, 2017, 50 years after the crew of three was lost. It features numerous items recalling the lives of the three astronauts. The tribute also includes the three-part hatch to the spacecraft itself, the first time any part of the Apollo 1 spacecraft has been displayed publicly. A version of the hatch after it was redesigned is also showcased as an example of improvements NASA made throughout the agency and to the Apollo spacecraft that would later carry astronauts to the moon. Included are interviews with Martha Chaffee and Sheryl, widow and daughter, respectively, of astronaut Roger Chaffee.</t>
  </si>
  <si>
    <t>05xdq6W9kRs</t>
  </si>
  <si>
    <t>2017 01 25</t>
  </si>
  <si>
    <t>https://youtu.be/zgPXkPps59w</t>
  </si>
  <si>
    <t>Exploration Research and Technology Spotlight on Janine Captain</t>
  </si>
  <si>
    <t>Dr. Janine Captain, a chemist in the Exploration Research and Technology Programs at NASA's Kennedy Space Center in Florida, describes her work in helping to identify resources on the moon that will enable further exploration and habitation beyond Earth.</t>
  </si>
  <si>
    <t>zgPXkPps59w</t>
  </si>
  <si>
    <t>https://youtu.be/lOSsx8ukYs0</t>
  </si>
  <si>
    <t>New Spacesuit Unveiled for Starliner Astronauts</t>
  </si>
  <si>
    <t>Astronauts heading into orbit aboard Boeing’s Starliner spacecraft will wear lighter and more comfortable spacesuits than earlier versions. The suit capitalizes on historical designs, meets NASA requirements for safety and functionality, while introducing cutting-edge innovations. Boeing unveiled its spacesuit design Wednesday as the company continues to move toward flight tests of its Starliner spacecraft and launch systems that will fly astronauts to the International Space Station.</t>
  </si>
  <si>
    <t>lOSsx8ukYs0</t>
  </si>
  <si>
    <t>2017 01 20</t>
  </si>
  <si>
    <t>https://youtu.be/Vcp-uR562BM</t>
  </si>
  <si>
    <t>Astronaut Peggy Whitson Shows Off Calendar on Space Station</t>
  </si>
  <si>
    <t>NASA astronaut Peggy Whitson floats on the International Space Station while sharing a 2017 calendar that features artwork from children from all parts of the world. The calendar was created by the Commercial Crew Program.</t>
  </si>
  <si>
    <t>Vcp-uR562BM</t>
  </si>
  <si>
    <t>https://youtu.be/lIYzjYnKLmk</t>
  </si>
  <si>
    <t>Inside KSC! for Jan. 20, 2017</t>
  </si>
  <si>
    <t>The final platform in a series of 10 new levels of work platforms was hoisted into place in High Bay 3 inside the Vehicle Assembly Building. Before its installation, Kennedy's Engineering Directorate coordinated a platform beam signing event to celebrate the NASA and contractor team's achievements.</t>
  </si>
  <si>
    <t>lIYzjYnKLmk</t>
  </si>
  <si>
    <t>2017 01 17</t>
  </si>
  <si>
    <t>https://youtu.be/VVyNQXWxH24</t>
  </si>
  <si>
    <t>Ozone Monitoring SAGE III Set to Launch on SpaceX CRS-10</t>
  </si>
  <si>
    <t>NASA's SAGE III instrument is being prepared for launch to the International Space Station to study atmospheric “sunscreen,” the ozone layer. Testing has been taking place in Kennedy's Space Station Processing Facility, a world-class laboratory.</t>
  </si>
  <si>
    <t>VVyNQXWxH24</t>
  </si>
  <si>
    <t>2017 01 13</t>
  </si>
  <si>
    <t>https://youtu.be/Duc8FoGhInQ</t>
  </si>
  <si>
    <t>Inside KSC! for Jan. 13, 2017</t>
  </si>
  <si>
    <t>The cargo module for Orbital ATK's seventh Commercial Resupply Services mission arrived on center and was transported to the Space Station Processing Facility. In a special processing area of the same facility, the Stratospheric Aerosol and Gas Experiment, or SAGE III, which will study the Earth's ozone, has undergone extensive checkouts in preparation for launch on the tenth SpaceX resupply mission.</t>
  </si>
  <si>
    <t>Duc8FoGhInQ</t>
  </si>
  <si>
    <t>2017 01 09</t>
  </si>
  <si>
    <t>https://youtu.be/DA6C11qtKi8</t>
  </si>
  <si>
    <t>360 Degree Encapsulation &amp; Launch of OSIRIS-REx</t>
  </si>
  <si>
    <t>Experience the encapsulation and launch of NASA's OSIRIS-REx spacecraft as if you were actually standing on the launch pad! Drag your mouse to look around -and if you have a virtual reality headset, make sure to slip it on for this one! This is absolutely as close to a rocket launch as you'd ever want to get.
WARNING: NASA strongly advises against standing underneath actual rocket launches in any scenario other than virtual reality.</t>
  </si>
  <si>
    <t>DA6C11qtKi8</t>
  </si>
  <si>
    <t>2017 01 06</t>
  </si>
  <si>
    <t>https://youtu.be/P9qhLDGC3DQ</t>
  </si>
  <si>
    <t>Inside KSC! for Jan. 6, 2017</t>
  </si>
  <si>
    <t>Kennedy Space Center opened new doors to discovery in 2016, and bid farewell Dec. 8 to an icon of the Space Age with the passing of John Glenn, one of NASA's original seven astronauts.</t>
  </si>
  <si>
    <t>P9qhLDGC3DQ</t>
  </si>
  <si>
    <t>2017 01 05</t>
  </si>
  <si>
    <t>https://youtu.be/BXCJ3oKoiCw</t>
  </si>
  <si>
    <t>Commercial Crew's Role in the Path to Mars</t>
  </si>
  <si>
    <t>The spacecraft, rockets and associated systems in development for NASA's Commercial Crew Program are critical links in the agency's chain to send astronauts safely to and from the Red Planet in the future, even though the commercial vehicles won’t venture to Mars themselves. The key is reliable access to the International Space Station as a test bed.</t>
  </si>
  <si>
    <t>BXCJ3oKoiCw</t>
  </si>
  <si>
    <t>2016 12 21</t>
  </si>
  <si>
    <t>https://youtu.be/GuruFHI5u8Q</t>
  </si>
  <si>
    <t>Inside KSC! for Dec. 23, 2016</t>
  </si>
  <si>
    <t>A new constellation of hurricane-watching satellites is taking shape after the Dec. 15 launch of NASA's CYGNSS mission, or Cyclone Global Navigation Satellite System. Meanwhile, the last in a series of new work platforms for NASA's Space Launch System rocket have arrived at Kennedy's Vehicle Assembly Building.</t>
  </si>
  <si>
    <t>GuruFHI5u8Q</t>
  </si>
  <si>
    <t>2016 12 16</t>
  </si>
  <si>
    <t>https://youtu.be/Eo8ibQWG6is</t>
  </si>
  <si>
    <t>Inside KSC! for Dec. 16, 2016</t>
  </si>
  <si>
    <t>Former astronauts, employees and local news media gathered last week to honor the life and legacy of astronaut John Glenn who passed away Dec. 8. Earlier this week, members of the cast and crew of the upcoming motion picture "Hidden Figures” toured the Kennedy Space Center and participated in a news conference.</t>
  </si>
  <si>
    <t>Eo8ibQWG6is</t>
  </si>
  <si>
    <t>2016 12 15</t>
  </si>
  <si>
    <t>https://youtu.be/1TFdQVJVU8s</t>
  </si>
  <si>
    <t>NASA Launch Director Tim Dunn Interview about CYGNSS Launch</t>
  </si>
  <si>
    <t>NASA Commentator George Diller interviews NASA Launch Director Tim Dunn after the successful launch of the CYGNSS spacecraft from the Pegasus XL rocket. Pilots aboard Orbital ATK's L-1011 Stargazer airplane released the Pegasus XL rocket at 8:37 a.m. EST. The eight CYGNSS microsatellites were successfully released into orbit.</t>
  </si>
  <si>
    <t>1TFdQVJVU8s</t>
  </si>
  <si>
    <t>https://youtu.be/fD-8NB4DFr0</t>
  </si>
  <si>
    <t>CYGNSS Microsatellites Deployed into Orbit</t>
  </si>
  <si>
    <t>The eight microsatellite observatories of the CYGNSS spacecraft have been deployed into orbit following launch aboard the Orbital ATK Pegasus XL rocket at 8:37 a.m. EST. CYGNSS will make frequent and accurate measurements of ocean surface winds throughout the lifecycle of tropical storms and hurricanes.</t>
  </si>
  <si>
    <t>fD-8NB4DFr0</t>
  </si>
  <si>
    <t>https://youtu.be/Bla3RsVia9A</t>
  </si>
  <si>
    <t>Pegasus XL Rocket Launches with CYGNSS Spacecraft</t>
  </si>
  <si>
    <t>The Orbital ATK Pegasus XL rocket launched from the company's L-1011 Stargazer airplane at 8:37 a.m. EST, carrying the CYGNSS spacecraft for launch.</t>
  </si>
  <si>
    <t>Bla3RsVia9A</t>
  </si>
  <si>
    <t>https://youtu.be/ZrfKdo6yGaI</t>
  </si>
  <si>
    <t>CYGNSS Launch Poll</t>
  </si>
  <si>
    <t>Launch director takes a final poll of the launch team to confirm "go" for launch of the Pegasus XL rocket with CYGNSS spacecraft from the L-1011 aircraft.</t>
  </si>
  <si>
    <t>ZrfKdo6yGaI</t>
  </si>
  <si>
    <t>https://youtu.be/20ks8gLJW-8</t>
  </si>
  <si>
    <t>L-1011 Aircraft Take off with Pegasus XL and CYGNSS Spacecraft</t>
  </si>
  <si>
    <t>Chase plane takeoff precedes the takeoff of the Orbital ATK L-1011 aircraft carrying the Pegasus XL rocket with the CYGNSS spacecraft from the Skid Strip at Cape Canaveral Air Force Station in Florida.</t>
  </si>
  <si>
    <t>20ks8gLJW-8</t>
  </si>
  <si>
    <t>https://youtu.be/CW6R_0x3oaM</t>
  </si>
  <si>
    <t>CYGNSS  NASA TV Coverage Begins for 2nd Attempt</t>
  </si>
  <si>
    <t>NASA TV opens its coverage of the second launch attempt of the CYGNSS mission on Dec. 15, 2016.</t>
  </si>
  <si>
    <t>CW6R_0x3oaM</t>
  </si>
  <si>
    <t>2016 12 12</t>
  </si>
  <si>
    <t>https://youtu.be/qN6ptUAdvag</t>
  </si>
  <si>
    <t>CYGNSS Launch Broadcast Open - Dec. 12, 2016</t>
  </si>
  <si>
    <t>NASA TV's broadcast of the first launch attempt of the CYGNSS mission on Dec. 12, 2016.</t>
  </si>
  <si>
    <t>qN6ptUAdvag</t>
  </si>
  <si>
    <t>https://youtu.be/1IOHhrdBasg</t>
  </si>
  <si>
    <t>CYGNSS Interview  Scrub</t>
  </si>
  <si>
    <t>The planned launch of NASA’s CYGNSS spacecraft aboard an Orbital ATK Pegasus rocket was called off for Dec. 12, 2016. A hydraulic pump aboard the Orbital ATK L-1011 airplane, which is required to release the latches holding Pegasus in place, is not receiving power. Teams will assess the issue after the plane lands. The next possible launch opportunity is Tuesday, pending resolution of the pump issue.</t>
  </si>
  <si>
    <t>1IOHhrdBasg</t>
  </si>
  <si>
    <t>https://youtu.be/XK4f9KpzGpA</t>
  </si>
  <si>
    <t>L-1011 Takes Off Carrying Pegasus for CYGNSS Launch</t>
  </si>
  <si>
    <t>The Orbital ATK L-1011 aircraft takes off for the CYGNSS mission launch. The launch attempt for Dec. 12 was aborted because of a hydraulic pump issue.</t>
  </si>
  <si>
    <t>XK4f9KpzGpA</t>
  </si>
  <si>
    <t>2016 12 10</t>
  </si>
  <si>
    <t>https://youtu.be/tLWrZFA_wtY</t>
  </si>
  <si>
    <t>CYGNSS From Mission to Launch Processing</t>
  </si>
  <si>
    <t>NASA's eight CYGNSS satellites are being prepared for launch by a Pegasus XL rocket dripped from the Orbital ATK L-1011 Stargazer carrier aircraft. The mission will see microsatellites deployed to better understand how hurricanes intensify.</t>
  </si>
  <si>
    <t>tLWrZFA_wtY</t>
  </si>
  <si>
    <t>2016 12 09</t>
  </si>
  <si>
    <t>https://youtu.be/3gM6NblzlWQ</t>
  </si>
  <si>
    <t>Inside KSC! for Dec. 9, 2016</t>
  </si>
  <si>
    <t>The Orbital ATK L-1011 Stargazer aircraft is being prepared to launch the company's Pegasus XL rocket carrying NASA's Cyclone Global Navigation Satellite System, or CYGNSS, satellites to study how hurricanes intensify. A high-fidelity test version of NASA’s Advanced Plant Habitat recently arrived at the Kennedy Space Center to help engineers train with the test unit.</t>
  </si>
  <si>
    <t>3gM6NblzlWQ</t>
  </si>
  <si>
    <t>https://youtu.be/o5Z_YvjBuGE</t>
  </si>
  <si>
    <t>Pegasus  A Rocket Unlike Any Other</t>
  </si>
  <si>
    <t>NASA's CYGNSS mission will begin with a launch into orbit aboard an Orbital ATK Pegasus. So instead of lifting straight into space from the ground, the rocket will be flown underneath an airliner to about 39,000 feet and released. After ignition, the Pegasus will soar away from the carrier aircraft, point its nose to the sky and burn through three stages to place the CYGNSS constellation of eight small satellites into orbit.</t>
  </si>
  <si>
    <t>o5Z_YvjBuGE</t>
  </si>
  <si>
    <t>2016 12 08</t>
  </si>
  <si>
    <t>https://youtu.be/RYMLQyYF32s</t>
  </si>
  <si>
    <t>STS-95 Mission Highlights</t>
  </si>
  <si>
    <t>On Oct. 29, 1998, astronaut and U.S. Senator John Glenn launched as a payload specialist aboard space shuttle Discovery on mission STS-95 as part of a seven-person crew including Commander Curtis Brown, Pilot Steven Lindsey, Mission Specialists Scott Parazynski, Stephen Robinson and Pedro Duque, and Payload Specialist Chiaki Mukai. At the age of 77, Glenn was the oldest person to date to fly in space. During the nine-day mission, Glenn’s presence on the flight provided valuable data on how weightlessness affected him compared to his experience 36 years earlier on his Friendship 7 flight. Medical data also gathered on the effects of spaceflight and weightlessness on the elderly. Mission objectives included a variety of science experiments, the deployment and retrieval of the Spartan free-flyer payload, and operations with the Hubble Space Telescope Orbiting Systems Test (HOST) and the International Extreme Ultraviolet Hitchhiker payloads.</t>
  </si>
  <si>
    <t>RYMLQyYF32s</t>
  </si>
  <si>
    <t>https://youtu.be/Pr2IsapvdaY</t>
  </si>
  <si>
    <t>John Glenn's Mercury-Atlas 6 Mission, 'Friendship 7'</t>
  </si>
  <si>
    <t>On Feb. 20. 1962, millions of Americans watched via television as astronaut John Glenn, strapped inside the spacecraft he named Friendship 7, lifted off from Cape Canaveral Air Force Station’s Launch Complex 14 on the Mercury Atlas-6 mission. During the four-hour, 55-minute flight, Glenn became the first American to orbit Earth.</t>
  </si>
  <si>
    <t>Pr2IsapvdaY</t>
  </si>
  <si>
    <t>2016 12 06</t>
  </si>
  <si>
    <t>https://youtu.be/8zwHj6Q-2JA</t>
  </si>
  <si>
    <t>Launching the New Space Age at Kennedy</t>
  </si>
  <si>
    <t>The new Space Age is launching at NASA's Kennedy Space Center through a combination of expertise and innovation among government and commercial providers.</t>
  </si>
  <si>
    <t>8zwHj6Q-2JA</t>
  </si>
  <si>
    <t>2016 12 02</t>
  </si>
  <si>
    <t>https://youtu.be/Hc5ODp0uSs8</t>
  </si>
  <si>
    <t>Inside KSC! for Dec. 2, 2016</t>
  </si>
  <si>
    <t>The adapter ring that will connect the Orion spacecraft with its service module for Exploration Mission 1 is undergoing secondary structure outfitting as the center's Emergency Response Team participated in the annual SWAT Roundup in Orlando.</t>
  </si>
  <si>
    <t>Hc5ODp0uSs8</t>
  </si>
  <si>
    <t>2016 11 23</t>
  </si>
  <si>
    <t>https://youtu.be/Hr9M98ZAV3s</t>
  </si>
  <si>
    <t>Inside KSC! for Nov. 23, 2016</t>
  </si>
  <si>
    <t>The GOES-R mission began Saturday with a roaring evening liftoff from Space Launch Complex 41. The GOES-R spacecraft is the first in a series of advanced meteorological satellites that will increase lead times, provide better storm tracking and produce real-time maps of lightning.</t>
  </si>
  <si>
    <t>Hr9M98ZAV3s</t>
  </si>
  <si>
    <t>2016 11 20</t>
  </si>
  <si>
    <t>https://youtu.be/N0CAxVT6ucM</t>
  </si>
  <si>
    <t>GOES-R Spacecraft Separation</t>
  </si>
  <si>
    <t>NOAA's GOES-R spacecraft separates from the Centaur upper stage at the conclusion of a successful launch aboard a United Launch Alliance Atlas V rocket.</t>
  </si>
  <si>
    <t>N0CAxVT6ucM</t>
  </si>
  <si>
    <t>https://youtu.be/O7lpEoUV7BQ</t>
  </si>
  <si>
    <t>Interview with GOES-R NASA Launch Manager Omar Baez</t>
  </si>
  <si>
    <t>NASA Launch Manager Omar Baez discusses the countdown and liftoff of the United Launch Alliance Atlas V rocket carrying NOAA's GOES-R spacecraft.</t>
  </si>
  <si>
    <t>O7lpEoUV7BQ</t>
  </si>
  <si>
    <t>https://youtu.be/qUKHT6DGe5o</t>
  </si>
  <si>
    <t>Interview with GOES-R Mission Director and Flight Project Manager Pam Sullivan</t>
  </si>
  <si>
    <t>NOAA GOES-R Mission Director and Flight Project Manager Pam Sullivan informs launch commentator Mike Curie and the NASA TV audience that early indications reveal the spacecraft's solar array deployed successfully.</t>
  </si>
  <si>
    <t>qUKHT6DGe5o</t>
  </si>
  <si>
    <t>https://youtu.be/ezg8HA4AwFY</t>
  </si>
  <si>
    <t>GOES-R Advances Partnership of NASA and Weather Watchers</t>
  </si>
  <si>
    <t>NASA’s Launch Services Program began sending NOAA’s GOES spacecraft into orbit beginning in 2000 with an Atlas IIA rocket. Several more would reach orbit on the strength of Delta IV boosters. The latest, GOES-R, will be the first of the line to launch on an Atlas V.</t>
  </si>
  <si>
    <t>ezg8HA4AwFY</t>
  </si>
  <si>
    <t>https://youtu.be/FDhJYgcHDX8</t>
  </si>
  <si>
    <t>Atlas V Lift-off for GOES-R Mission</t>
  </si>
  <si>
    <t>A United Launch Alliance Atlas V rocket lifts off from Space Launch Complex 41 at Cape Canaveral Air Force Station carrying the NOAA Geostationary Operational Environmental Satellite (GOES-R). Liftoff was at 6:42 p.m. EST. Photo credit: NASA</t>
  </si>
  <si>
    <t>FDhJYgcHDX8</t>
  </si>
  <si>
    <t>https://youtu.be/4dh_ZeMEadE</t>
  </si>
  <si>
    <t>Countdown Underway for Atlas V with GOES-R Launch</t>
  </si>
  <si>
    <t>In the Launch Control Center at Cape Canaveral Air Force Station in Florida, the launch director polls the launch team for "go for launch" status.</t>
  </si>
  <si>
    <t>4dh_ZeMEadE</t>
  </si>
  <si>
    <t>2016 11 19</t>
  </si>
  <si>
    <t>https://youtu.be/fwS5Cvyuw08</t>
  </si>
  <si>
    <t>GOES-R Launch Coverage Begins</t>
  </si>
  <si>
    <t>A United Launch Alliance Atlas V rocket with the Geostationary Operational Environmental Satellite (GOES-R) is at Space Launch Complex 41 at Cape Canaveral Air Force Station in Florida. The rocket will launch GOES-R to a geostationary position over the U.S.</t>
  </si>
  <si>
    <t>fwS5Cvyuw08</t>
  </si>
  <si>
    <t>https://youtu.be/BlWE_Z0TLFE</t>
  </si>
  <si>
    <t>Countdown  Problem-Solving on Launch Day</t>
  </si>
  <si>
    <t>How does the launch team handle unexpected issues during the countdown? Chief Engineer James Wood of NASA's Launch Services Program explains.</t>
  </si>
  <si>
    <t>BlWE_Z0TLFE</t>
  </si>
  <si>
    <t>https://youtu.be/k0cvGRIFMK0</t>
  </si>
  <si>
    <t>Countdown  L-Minus vs. T-Minus</t>
  </si>
  <si>
    <t>What is the difference between “L-minus” and “T-minus” times used during a launch countdown? Chief Engineer James Wood of NASA's Launch Services Program explains.</t>
  </si>
  <si>
    <t>k0cvGRIFMK0</t>
  </si>
  <si>
    <t>2016 11 18</t>
  </si>
  <si>
    <t>https://youtu.be/By0fhGgo6kA</t>
  </si>
  <si>
    <t>GOES-R and Atlas V Rocket Prepared for Launch</t>
  </si>
  <si>
    <t>The NOAA Geostationary Operational Environmental Satellite, or GOES-R, will be the first satellite in a series of next-generation NOAA GOES satellites. GOES-R will launch aboard a United Launch Alliance Atlas V rocket from Launch Pad 41 at Cape Canaveral Air Force Station in Florida. Launch is scheduled for Nov. 19.</t>
  </si>
  <si>
    <t>By0fhGgo6kA</t>
  </si>
  <si>
    <t>https://youtu.be/QWfEbkj9GgI</t>
  </si>
  <si>
    <t>GOES-R  Launch Will Cap Years of Work</t>
  </si>
  <si>
    <t>Years of work to build and process the spacecraft and rocket for the GOES-R mission will culminate with the liftoff of America's most sophisticated weather satellite.</t>
  </si>
  <si>
    <t>QWfEbkj9GgI</t>
  </si>
  <si>
    <t>https://youtu.be/rIgJwyHD9vs</t>
  </si>
  <si>
    <t>GOES-R is Go!</t>
  </si>
  <si>
    <t>The launch teams stand ready as the moment of liftoff nears for GOES-R.</t>
  </si>
  <si>
    <t>rIgJwyHD9vs</t>
  </si>
  <si>
    <t>https://youtu.be/xSF5GWS01YE</t>
  </si>
  <si>
    <t>The GOES-R Launch Lineup</t>
  </si>
  <si>
    <t>It will take teams of launch specialists and the power of an Atlas V rocket to lift the nation's newest, most sophisticated weather satellite into orbit.</t>
  </si>
  <si>
    <t>xSF5GWS01YE</t>
  </si>
  <si>
    <t>https://youtu.be/6uE0GuhYtPE</t>
  </si>
  <si>
    <t>GOES-R Will Revolutionize Weather Forecasting</t>
  </si>
  <si>
    <t>NASA is preparing to launch GOES-R, a new tool that will revolutionize weather forecasting.  It is the first in a series of next-generation Geostationary Operational Environmental Satellites for NOAA -- the National Oceanographic and Atmospheric Administration.</t>
  </si>
  <si>
    <t>6uE0GuhYtPE</t>
  </si>
  <si>
    <t>2016 11 17</t>
  </si>
  <si>
    <t>https://youtu.be/qidg0MzqBeM</t>
  </si>
  <si>
    <t>Inside KSC! for Nov. 18, 2016</t>
  </si>
  <si>
    <t>Dozens of NASA astronauts gathered at KSC's Visitor Complex on Veterans Day to mark the opening of the Heroes and Legends attraction, and NASA's Commercial Crew Program opened its annual children's calendar artwork contest.</t>
  </si>
  <si>
    <t>qidg0MzqBeM</t>
  </si>
  <si>
    <t>2016 11 10</t>
  </si>
  <si>
    <t>https://youtu.be/1kvE-WeUYTo</t>
  </si>
  <si>
    <t>Inside KSC! for Nov. 11, 2016</t>
  </si>
  <si>
    <t>Kennedy Space Center’s Ground Systems Development and Operations Program, the U.S. Navy, and support contractors wrapped up Orion water recovery testing in the Pacific Ocean. Back in Florida, the Geostationary Operational Environmental Satellite, or GOES-R, was transported to Space Launch Complex 41 for stacking with the United Launch Alliance Atlas V rocket in preparation for launch on Nov. 19.</t>
  </si>
  <si>
    <t>1kvE-WeUYTo</t>
  </si>
  <si>
    <t>2016 11 04</t>
  </si>
  <si>
    <t>https://youtu.be/r_5lZ2S0zTg</t>
  </si>
  <si>
    <t>Inside KSC! for Nov. 4, 2016</t>
  </si>
  <si>
    <t>NASA Deputy Administrator Dava Newman was on site this week kicking off NASA’s Agency Innovation Mission and hosting the NASA Innovation Kick Start competition. Work continued on upgrades to the flame trench at Launch Pad 39B as NASA's Ground System Development and Operations Program prepares for the launch of the Orion spacecraft on NASA's Space Launch System rocket on Exploration Mission 1 in late 2018.</t>
  </si>
  <si>
    <t>r_5lZ2S0zTg</t>
  </si>
  <si>
    <t>2016 10 28</t>
  </si>
  <si>
    <t>https://youtu.be/mq0R-PlcqAk</t>
  </si>
  <si>
    <t>Inside KSC! for Oct. 28, 2016</t>
  </si>
  <si>
    <t>Scientists at Kennedy Space Center watched intently as NASA astronauts aboard the International Space Station started growing red romaine lettuce in space this week. Meanwhile, hundreds of businesses and government exhibitors were on hand at Port Canaveral to share ideas, information and opportunities at the NASA/KSC Opportunities Expo 2016.</t>
  </si>
  <si>
    <t>mq0R-PlcqAk</t>
  </si>
  <si>
    <t>2016 10 21</t>
  </si>
  <si>
    <t>https://youtu.be/fJTyac0ifDo</t>
  </si>
  <si>
    <t>Inside KSC! for Oct. 21, 2016  Ver. 2</t>
  </si>
  <si>
    <t>The Vehicle Assembly Building reaches new heights this week in preparation for NASA's Space Launch System rocket and Orion spacecraft. Also, military personnel and some Kennedy engineers are planning to practice the recovery of the Orion spacecraft using a test version of the crew module off the coast of San Diego.</t>
  </si>
  <si>
    <t>fJTyac0ifDo</t>
  </si>
  <si>
    <t>https://youtu.be/W6hOLMnaicY</t>
  </si>
  <si>
    <t>Inside KSC! for Oct. 21, 2016</t>
  </si>
  <si>
    <t>W6hOLMnaicY</t>
  </si>
  <si>
    <t>2016 10 14</t>
  </si>
  <si>
    <t>https://youtu.be/SlXydcXcNfM</t>
  </si>
  <si>
    <t>Inside KSC! for Oct. 14, 2016</t>
  </si>
  <si>
    <t>Employees are back at work this week as Kennedy recovers from Hurricane Matthew. NOAA's GOES-R weather satellite safely rode out the storm in the Astrotech payload processing facility in nearby Titusville.</t>
  </si>
  <si>
    <t>SlXydcXcNfM</t>
  </si>
  <si>
    <t>2016 10 11</t>
  </si>
  <si>
    <t>https://youtu.be/2BUaS2QCeZk</t>
  </si>
  <si>
    <t>Aerial Survey of Kennedy Space Center Following Hurricane Matthew</t>
  </si>
  <si>
    <t>After Hurricane Matthew passed NASA’s Kennedy Space Center in Florida, an aerial survey was taken on Saturday, Oct. 8. The survey was performed to identify structures and facilities that may have sustained damage as the storm passed to the east of Kennedy on Oct. 6 and 7. Officials determined that the center received some isolated roof damage, damaged support buildings, a few downed power lines and limited water intrusion. Beach erosion also occurred, although the storm surge was less than expected.</t>
  </si>
  <si>
    <t>2BUaS2QCeZk</t>
  </si>
  <si>
    <t>2016 10 05</t>
  </si>
  <si>
    <t>https://youtu.be/d10PaWrsWIo</t>
  </si>
  <si>
    <t>Inside KSC! for Oct. 5, 2016</t>
  </si>
  <si>
    <t>A robotic miner named RASSOR 2.0 demonstrated its ability to make the most of materials on Mars, and preparations for the launch of GOES-R continue with the arrival of the United Launch Alliance Atlas V rocket's Centaur upper stage.</t>
  </si>
  <si>
    <t>d10PaWrsWIo</t>
  </si>
  <si>
    <t>2016 09 30</t>
  </si>
  <si>
    <t>https://youtu.be/cRLnAeL3wdU</t>
  </si>
  <si>
    <t>DUST TO THRUST -- MARCO POLO Mars Pathfinder, RASSOR Tested</t>
  </si>
  <si>
    <t>An integrated test of the MARCO POLO/Mars Pathfinder in-situ resource utilization, or ISRU, system recently took place at NASA’s Kennedy Space Center in Florida. A mockup of MARCO POLO, an ISRU propellant production technology demonstration simulated mission, was tested in a regolith bin with RASSOR 2.0, the Regolith Advanced Surface Systems Operations Robot.</t>
  </si>
  <si>
    <t>cRLnAeL3wdU</t>
  </si>
  <si>
    <t>https://youtu.be/iRcrewH3XL4</t>
  </si>
  <si>
    <t>Inside KSC! for Sept. 30, 2016</t>
  </si>
  <si>
    <t>Kennedy’s GSDO Program, along with the U.S. Navy and Lockheed Martin, are preparing the recovery team, hardware and operations to support spacecraft recovery following Exploration Mission 1. Additionally, preparations continue for the launch of GOES-R, a satellite that could revolutionize weather forecasting.</t>
  </si>
  <si>
    <t>iRcrewH3XL4</t>
  </si>
  <si>
    <t>2016 09 28</t>
  </si>
  <si>
    <t>https://youtu.be/AM40S4kJETI</t>
  </si>
  <si>
    <t>Divers Train for Orion Recovery at NASA's Johnson Space Center</t>
  </si>
  <si>
    <t>A team of U.S. Navy divers practiced Orion underway recovery techniques Sept. 20-22 in the Neutral Buoyancy Laboratory at NASA's Johnson Space Center in Houston to prepare for the first test flight of an uncrewed Orion spacecraft with the agency's Space Launch System rocket during Exploration Mission 1. The training will prepare the recovery team, Ground Systems Development and Operations and Orion manufacturer Lockheed Martin Underway Recovery Test 5 in the Pacific Ocean off the coast of California in October.</t>
  </si>
  <si>
    <t>AM40S4kJETI</t>
  </si>
  <si>
    <t>2016 09 23</t>
  </si>
  <si>
    <t>https://youtu.be/4biErxQV4ag</t>
  </si>
  <si>
    <t>Inside KSC! for Sept. 23, 2016</t>
  </si>
  <si>
    <t>Members of the news media recently were given a preview of the new Destination: Mars experience at the Kennedy Space Center Visitor Complex. Space Center employees recently had an opportunity to hear from the Juno mission’s principal investigator, Scott Bolton of the Southwest Research Institute.</t>
  </si>
  <si>
    <t>4biErxQV4ag</t>
  </si>
  <si>
    <t>2016 09 16</t>
  </si>
  <si>
    <t>https://youtu.be/boDt0odsZBY</t>
  </si>
  <si>
    <t>Inside KSC! Sept. 16, 2016</t>
  </si>
  <si>
    <t>One of the aft skirts that will become part of the Exploration Mission 1 stack was moved to the Booster Fabrication Facility at Kennedy. Another vital element for the EM-1 mission, the processing bay of the Vehicle Assembly Building where the massive booster and spacecraft will be stacked, also continues to take shape.</t>
  </si>
  <si>
    <t>boDt0odsZBY</t>
  </si>
  <si>
    <t>https://youtu.be/cLKNzBzGiL4</t>
  </si>
  <si>
    <t>Closer to a New Way Every Day</t>
  </si>
  <si>
    <t>Two years after selecting the next generation of American spacecraft and rockets that will launch astronauts to the International Space Station, engineers and spaceflight specialists across NASA’s Commercial Crew Program, Boeing and SpaceX are putting in place the elements required for successful missions.</t>
  </si>
  <si>
    <t>cLKNzBzGiL4</t>
  </si>
  <si>
    <t>2016 09 13</t>
  </si>
  <si>
    <t>https://youtu.be/JcmjW6mTV64</t>
  </si>
  <si>
    <t xml:space="preserve">What's the Right Rocket to Launch a Robot </t>
  </si>
  <si>
    <t>Rockets come in lots of shapes and sizes.  So what’s the right rocket for a space-exploring robot? Choosing a rocket depends on three things: how much the robot weighs; how far away it’s going; and what it’s going to do.</t>
  </si>
  <si>
    <t>JcmjW6mTV64</t>
  </si>
  <si>
    <t>2016 09 12</t>
  </si>
  <si>
    <t>https://youtu.be/t6Xm5N5UFqc</t>
  </si>
  <si>
    <t>Inside KSC! Sept. 12, 2016</t>
  </si>
  <si>
    <t>NASA’s OSIRIS-REx mission began with a thundering liftoff from Space Launch Complex 41 on Thursday, Sept. 8. We look back at that launch on Inside KSC and note what the mission means as NASA works to decipher the details of asteroids and the history of the solar system.</t>
  </si>
  <si>
    <t>t6Xm5N5UFqc</t>
  </si>
  <si>
    <t>2016 09 09</t>
  </si>
  <si>
    <t>https://youtu.be/PIF8zvnEN9c</t>
  </si>
  <si>
    <t>OSIRIS-REx Interview with Ellen Stofan</t>
  </si>
  <si>
    <t>NASA Chief Scientist Ellen Stofan shared the significance of OSIRIS-REx and the data it will gather on a near-Earth asteroid, called Bennu with Joshua Finch, NASA Office of Communications, during Thursday’s launch broadcast. In addition to a status on the asteroid retrieval mission, Stofan offered the role OSIRIS-REx plays in NASA’s overall goals of exploration.</t>
  </si>
  <si>
    <t>PIF8zvnEN9c</t>
  </si>
  <si>
    <t>https://youtu.be/8aNRCbGm52M</t>
  </si>
  <si>
    <t>OSIRIS-REx Interview with Jon Cowart</t>
  </si>
  <si>
    <t>NASA’s Jon Cowart, a veteran space engineer, provided an update on the agency’s Commercial Crew Program with Stephanie Martin, NASA Office of Communications, during Thursday’s OSIRIS-REx launch broadcast. In addition to a status on the work under way by Boeing and SpaceX to build spacecraft and launch systems to take astronauts to the International Space Station, Cowart offered the role Commercial Crew plays in NASA’s overall goals of exploration.</t>
  </si>
  <si>
    <t>8aNRCbGm52M</t>
  </si>
  <si>
    <t>https://youtu.be/O8yKyhNqoaA</t>
  </si>
  <si>
    <t>NASA Manager Discusses OSIRIS-REx Launch</t>
  </si>
  <si>
    <t>Following liftoff from Cape Canaveral Air Force Station's Space Launch Complex 41, NASA’s Origins, Spectral Interpretation, Resource Identification, Security-Regolith Explorer, or OSIRIS-REx spacecraft NASA Launch Manager Tim Dunn discusses the first U.S. mission to sample an asteroid, retrieve at least two ounces of surface material and return it to Earth for study.</t>
  </si>
  <si>
    <t>O8yKyhNqoaA</t>
  </si>
  <si>
    <t>2016 09 08</t>
  </si>
  <si>
    <t>https://youtu.be/ULfQdFY9PQM</t>
  </si>
  <si>
    <t>Liftoff of OSIRIS-REx</t>
  </si>
  <si>
    <t>An Atlas V rocket lifts off at Cape Canaveral Air Force Station's Space Launch Complex 41.The mission is to send NASA’s Origins, Spectral Interpretation, Resource Identification, Security-Regolith Explorer, or OSIRIS-REx spacecraft. This will be the first U.S. mission to sample an asteroid, retrieve at least two ounces of surface material and return it to Earth for study.</t>
  </si>
  <si>
    <t>ULfQdFY9PQM</t>
  </si>
  <si>
    <t>https://youtu.be/9ZFvkUI5gt4</t>
  </si>
  <si>
    <t>OSIRIS-REx Ready for Launch</t>
  </si>
  <si>
    <t>NASA managers poll the launch team to ensure all is ready for the liftoff of an Atlas V at Cape Canaveral Air Force Station's Space Launch Complex 41.The mission is to boost NASA’s Origins, Spectral Interpretation, Resource Identification, Security-Regolith Explorer, or OSIRIS-REx, spacecraft. This will be the first U.S. mission to sample an asteroid, retrieve at least two ounces of surface material and return it to Earth for study.</t>
  </si>
  <si>
    <t>9ZFvkUI5gt4</t>
  </si>
  <si>
    <t>https://youtu.be/2hi0IDUKVWg</t>
  </si>
  <si>
    <t>OSIRIS-REx Countdown is Underway</t>
  </si>
  <si>
    <t>An Atlas V rocket is being prepared for liftoff at Cape Canaveral Air Force Station's Space Launch Complex 41.The mission is to launch NASA’s Origins, Spectral Interpretation, Resource Identification, Security-Regolith Explorer, or OSIRIS-REx, spacecraft. This will be the first U.S. mission to sample an asteroid, retrieve at least two ounces of surface material and return it to Earth for study.</t>
  </si>
  <si>
    <t>2hi0IDUKVWg</t>
  </si>
  <si>
    <t>2016 09 07</t>
  </si>
  <si>
    <t>https://youtu.be/cynVuXYiif8</t>
  </si>
  <si>
    <t>OSIRIS-REx Poised for Sampling Run to Asteroid</t>
  </si>
  <si>
    <t>Bolted to the top of a United Launch Alliance Atlas V rocket, NASA's OSIRIS-REx spacecraft will lift off on a mission to study an asteroid in unprecedented detail. The study will include taking a small sample of the asteroid and returning it to Earth for firsthand analysis.</t>
  </si>
  <si>
    <t>cynVuXYiif8</t>
  </si>
  <si>
    <t>https://youtu.be/1Uf-X-n6we0</t>
  </si>
  <si>
    <t>Asteroid-Sampling Spacecraft, Atlas V Rocket Ready for Launch</t>
  </si>
  <si>
    <t>NASA’s OSIRIS-REx spacecraft will be boosted into orbit aboard a United Launch Alliance Atlas V rocket from Space Launch Complex 41 at Cape Canaveral Air Force Station in Florida. OSIRIS-REx stands for Origins, Spectral Interpretation, Resource Identification, Security-Regolith Explorer. The U.S.'s first mission to sample an asteroid, OSIRIS-REx will travel to the near-Earth asteroid Bennu. Learn how this pioneering spacecraft and the Atlas V were readied for flight.</t>
  </si>
  <si>
    <t>1Uf-X-n6we0</t>
  </si>
  <si>
    <t>2016 09 02</t>
  </si>
  <si>
    <t>https://youtu.be/NpMPNqdRA2A</t>
  </si>
  <si>
    <t>Inside KSC! Sept. 2, 2016</t>
  </si>
  <si>
    <t>The OSIRIS-REx spacecraft was encapsulated in the payload fairing and transported to Space Launch Complex 41 for lifting and mating to the Atlas V rocket for a launch targeted for Sept. 8. The Orion heat shield for Exploration Mission 1 arrived at the Shuttle Landing Facility aboard NASA's Super Guppy aircraft.</t>
  </si>
  <si>
    <t>NpMPNqdRA2A</t>
  </si>
  <si>
    <t>2016 08 26</t>
  </si>
  <si>
    <t>https://youtu.be/xjK1Es_h3UY</t>
  </si>
  <si>
    <t>Inside KSC! Aug. 26, 2016</t>
  </si>
  <si>
    <t>The OSIRIS-REx spacecraft continues to be prepared for its mission to the asteroid Bennu inside the Payload Hazardous Processing Facility at NASA's Kennedy Space Center in Florida. The Atlas V rocket that will launch OSIRIS-REx into space is being prepared at Space Launch Complex 41 at Cape Canaveral Air Force Station.</t>
  </si>
  <si>
    <t>xjK1Es_h3UY</t>
  </si>
  <si>
    <t>2016 08 19</t>
  </si>
  <si>
    <t>https://youtu.be/s5q28w6yjy4</t>
  </si>
  <si>
    <t>Inside KSC! for Aug. 19, 2016</t>
  </si>
  <si>
    <t>The Crew Access Arm for a new generation of spacecraft was lifted into place Aug. 15 at Space Launch Complex-41 where workers are modifying the launch pad to give astronauts access to Boeing's CST-100 Starliner. Aerojet Rocketdyne also conducted a hot-fire test on the company’s RL10 engine in West Palm Beach, Florida.</t>
  </si>
  <si>
    <t>s5q28w6yjy4</t>
  </si>
  <si>
    <t>2016 08 18</t>
  </si>
  <si>
    <t>https://youtu.be/Saaq1yMxt84</t>
  </si>
  <si>
    <t>Crew Flight Test Engine Hot Fired</t>
  </si>
  <si>
    <t>Commercial crew astronauts Eric Boe and Suni Williams were joined by NASA astronaut Butch Wilmore to watch Aerojet Rocketdyne hot-fire test the company’s RL10 engine in West Palm Beach, Florida that will be used for Boeing’s Crew Flight Test in February 2018. The RL10 engine is a critical element on the United Launch Alliance Centuar upper stage for the Atlas V rocket, which will lift Boeing’s CST-100 Starliner for a mission to the International Space Station under NASA’s Commercial Crew Program.</t>
  </si>
  <si>
    <t>Saaq1yMxt84</t>
  </si>
  <si>
    <t>2016 08 15</t>
  </si>
  <si>
    <t>https://youtu.be/Y8r6lAOOCHc</t>
  </si>
  <si>
    <t>Starliner Crew Access Arm Installed at SLC-41</t>
  </si>
  <si>
    <t>The Crew Access Arm astronauts will walk across to get to Boeing's Starliner spacecraft on launch day was lifted and bolted into place Monday, Aug. 15, 2016, at SLC-41. United Launch Alliance is outfitting the Atlas V launch complex for crews that will fly into space on Starliner/Atlas V missions including those for NASA's Commercial Crew Program.</t>
  </si>
  <si>
    <t>Y8r6lAOOCHc</t>
  </si>
  <si>
    <t>https://youtu.be/FVL-C328CHQ</t>
  </si>
  <si>
    <t>Inside KSC! for Aug. 12, 2016</t>
  </si>
  <si>
    <t>NASA's four Commercial Crew astronauts visited Kennedy last week to discuss the program's progress toward launching humans again from Florida's Space Coast in the near future. Also, The crew access arm for Space Launch Complex 41 made its way to Kennedy from its Oak Hill construction site.</t>
  </si>
  <si>
    <t>FVL-C328CHQ</t>
  </si>
  <si>
    <t>2016 08 09</t>
  </si>
  <si>
    <t>https://youtu.be/cOXceSRMcjA</t>
  </si>
  <si>
    <t>Inside KSC! for Aug. 5, 2016</t>
  </si>
  <si>
    <t>OSIRIS-Rex, a spacecraft designed to map the surface of an asteroid and return a sample from its surface, recently completed a key communications test at NASA's Kennedy Space Center. Time-lapse cameras also captured the agency’s Orion spacecraft being moved from the high bay to a clean room in Kennedy’s Neil Armstrong Operations and Checkout Building.</t>
  </si>
  <si>
    <t>cOXceSRMcjA</t>
  </si>
  <si>
    <t>2016 08 03</t>
  </si>
  <si>
    <t>https://youtu.be/at3cCCstD2Q</t>
  </si>
  <si>
    <t>View Platform Installation Midpoint in 360-degree View</t>
  </si>
  <si>
    <t>Inside the Vehicle Assembly Building at NASA's Kennedy Space Center in Florida, platform installation reached the midpoint in High Bay 3, with installation of the F north and south platforms.</t>
  </si>
  <si>
    <t>at3cCCstD2Q</t>
  </si>
  <si>
    <t>2016 07 29</t>
  </si>
  <si>
    <t>https://youtu.be/8SCqZ7NOvZs</t>
  </si>
  <si>
    <t>Inside KSC! July 29, 2016</t>
  </si>
  <si>
    <t>NASA and Boeing entered in an agreement with Bastion Technologies for the company to build training mock-ups and ground support equipment for Boeing’s CST-100 Starliner.  In Kennedy’s Vehicle Assembly Building, half of the 10 work platforms now have been installed to surround the Space Launch System rocket and Orion spacecraft, providing access during preflight processing.</t>
  </si>
  <si>
    <t>8SCqZ7NOvZs</t>
  </si>
  <si>
    <t>2016 07 21</t>
  </si>
  <si>
    <t>https://youtu.be/XQYkdOPqkWc</t>
  </si>
  <si>
    <t>Inside KSC! July 22, 2016</t>
  </si>
  <si>
    <t>A new shipment of cargo for the International Space Station took flight aboard a SpaceX Falcon 9 rocket July 18 and the rocket’s spent first stage flew back to a successful landing. Meanwhile, the company’s Dragon spacecraft continued on its path, carrying almost 5,000 pounds, including the Biomolecule Sequencer and Phase-Change Heat Exchanger science payloads and the International Docking Adapter.</t>
  </si>
  <si>
    <t>XQYkdOPqkWc</t>
  </si>
  <si>
    <t>2016 07 18</t>
  </si>
  <si>
    <t>https://youtu.be/Z7ADMA1eRFQ</t>
  </si>
  <si>
    <t>Liftoff of SpaceX CRS-9</t>
  </si>
  <si>
    <t>The SpaceX CRS-9 Falcon 9 rocket lifts off from Space Launch Complex 40 at Cape Canaveral Air Force Station sending a Dragon spacecraft on the company's ninth commercial resupply services mission to the International Space Station. Liftoff was at 12:45:29 p.m. EDT.</t>
  </si>
  <si>
    <t>Z7ADMA1eRFQ</t>
  </si>
  <si>
    <t>2016 07 15</t>
  </si>
  <si>
    <t>https://youtu.be/RlN6_3_h8M0</t>
  </si>
  <si>
    <t>Inside KSC! July 16, 2016</t>
  </si>
  <si>
    <t>Inside KSC this week, we look ahead at the SpaceX CRS-9 mission to deliver science, supplies and an International Docking Adapter to the International Space Station, and celebrate innovators and their technologies with the KickStart Showcase.</t>
  </si>
  <si>
    <t>RlN6_3_h8M0</t>
  </si>
  <si>
    <t>2016 07 08</t>
  </si>
  <si>
    <t>https://youtu.be/3cqqzh7oi7k</t>
  </si>
  <si>
    <t>Inside KSC! July 8, 2016</t>
  </si>
  <si>
    <t>Inside KSC this week,  see the installation of Platform G inside the Vehicle Assembly Building where it will be used for the Space Launch System rocket and Orion spacecraft processing. Also, the SAGE III instrument is working through processing before it is launched later this year to the International Space Station. It will be connected to the orbiting laboratory to collect data about Earth's atmosphere.</t>
  </si>
  <si>
    <t>3cqqzh7oi7k</t>
  </si>
  <si>
    <t>2016 07 01</t>
  </si>
  <si>
    <t>https://youtu.be/silrQqvMyqg</t>
  </si>
  <si>
    <t>Inside KSC! July 1, 2016</t>
  </si>
  <si>
    <t>This week Inside KSC, watch the preparations underway for the OSIRIS-REx mission scheduled to launch in September. Also, the Kennedy-launched Juno spacecraft is to arrive this Independence Day at Jupiter to study the solar system's largest planet in unprecedented detail.</t>
  </si>
  <si>
    <t>silrQqvMyqg</t>
  </si>
  <si>
    <t>2016 06 24</t>
  </si>
  <si>
    <t>https://youtu.be/3kqdzZcejM0</t>
  </si>
  <si>
    <t>Inside KSC!  June 24, 2016</t>
  </si>
  <si>
    <t>Zinnia plants grown on the International Space Station are dissected back on Earth in the Space Station Processing Facility, and the G-level work platforms for NASA's Space Launch System are installed in High Bay 3 of the Vehicle Assembly Building.</t>
  </si>
  <si>
    <t>3kqdzZcejM0</t>
  </si>
  <si>
    <t>2016 06 17</t>
  </si>
  <si>
    <t>https://youtu.be/0Ul77wuXAWs</t>
  </si>
  <si>
    <t>Inside KSC! June 17, 2016</t>
  </si>
  <si>
    <t>The Neutron star Interior Composition Explorer, or NICER, arrived at Kennedy Space Center on June 8. The first half of the D-level work platforms, D South, for the Vehicle Assembly Building High Bay 3, arrived at the center on June 7. The D platforms are one of 10 total levels of work platforms that will surround the Space Launch System vehicle for testing and processing for the first integrated launch of the rocket and Orion spacecraft.</t>
  </si>
  <si>
    <t>0Ul77wuXAWs</t>
  </si>
  <si>
    <t>2016 06 10</t>
  </si>
  <si>
    <t>https://youtu.be/3ENAW5KmELE</t>
  </si>
  <si>
    <t>Inside KSC! June 10, 2016</t>
  </si>
  <si>
    <t>The last major component of Boeing's CST-100 Starliner spacecraft, known as Spacecraft 1, recently arrived at Kennedy, and the second of two Tail Service Mast Umbilicals that will provide fuel and electricity to the Space Launch System rocket began processing.</t>
  </si>
  <si>
    <t>3ENAW5KmELE</t>
  </si>
  <si>
    <t>2016 06 06</t>
  </si>
  <si>
    <t>https://youtu.be/Q3G-KIuzguY</t>
  </si>
  <si>
    <t>Starliner Elements Arrive for Spacecraft 1</t>
  </si>
  <si>
    <t>The upper dome of a Boeing Starliner spacecraft arrived at the company’s Commercial Crew and Cargo Processing Facility at NASA’s Kennedy Space Center in Florida. The upper dome is part of Spacecraft 1, a Starliner that will perform a pad abort flight test as part of the development process of the spacecraft in partnership with NASA’s Commercial Crew Program. The Starliner is designed to carry up to four astronauts to the International Space Station for commercial crew missions.</t>
  </si>
  <si>
    <t>Q3G-KIuzguY</t>
  </si>
  <si>
    <t>2016 06 03</t>
  </si>
  <si>
    <t>https://youtu.be/Mt5Sj_ClZWo</t>
  </si>
  <si>
    <t>Inside KSC June 3, 2016</t>
  </si>
  <si>
    <t>The Vehicle Assembly Building at KSC reached a new level of preparation for the Journey to Mars. Platform H was installed last week. The OSIRIS-REx, spacecraft recently went for a spin in the Payload Hazardous Servicing Facility to check its weight and center of gravity. OSIRIS-REx is slated for liftoff Sept. 8 aboard a United Launch Alliance Atlas V rocket.</t>
  </si>
  <si>
    <t>Mt5Sj_ClZWo</t>
  </si>
  <si>
    <t>2016 05 26</t>
  </si>
  <si>
    <t>https://youtu.be/RiHpbFf4a0s</t>
  </si>
  <si>
    <t>Inside KSC! May 27, 2016</t>
  </si>
  <si>
    <t>OSIRIS-REx , a spacecraft designed to grasp part of an asteroid recently arrived at Kennedy. Also, engineers at the Florida spaceport recently conducted a series of tests of the Orion pressure vessel being prepared for the first uncrewed test flight atop a Space Launch System rocket -- Exploration Mission 1.</t>
  </si>
  <si>
    <t>RiHpbFf4a0s</t>
  </si>
  <si>
    <t>2016 05 25</t>
  </si>
  <si>
    <t>https://youtu.be/b8EtGkpKOBA</t>
  </si>
  <si>
    <t>Launch Services Program Sets Stage for Mission Success</t>
  </si>
  <si>
    <t>As Earth's bridge to space, NASA's Launch Services Program is customer-focused and continuously evolving to provide the best solutions to meet each mission's unique requirements. Hear from mission customers and program officials as they explain how LSP's core tenets of innovation, transparency, flexibility and expertise set the stage for mission success.</t>
  </si>
  <si>
    <t>b8EtGkpKOBA</t>
  </si>
  <si>
    <t>https://youtu.be/tIZxZMP7vNk</t>
  </si>
  <si>
    <t>Commercial Crew Progress, Summer 2016</t>
  </si>
  <si>
    <t>NASA's Commercial Crew Program and its partners are working quickly and carefully to build the new generation of spacecraft, launch systems and infrastructure, all with an eye on launching American astronauts to the International Space Station from the United States.</t>
  </si>
  <si>
    <t>tIZxZMP7vNk</t>
  </si>
  <si>
    <t>2016 05 24</t>
  </si>
  <si>
    <t>https://youtu.be/qA6KPkEx7PA</t>
  </si>
  <si>
    <t>Robotic Mining Competition Put Student Engineers to the Test</t>
  </si>
  <si>
    <t>Teams of undergraduate and graduate students from throughout the nation recently gathered at Kennedy Space Center Visitor Complex to demonstrate their excavator robots during the 2016 Robotic Mining Competition. Similar technology may prove valuable in NASA's Journey to Mars.</t>
  </si>
  <si>
    <t>qA6KPkEx7PA</t>
  </si>
  <si>
    <t>2016 05 20</t>
  </si>
  <si>
    <t>https://youtu.be/1sOaR5IkyIs</t>
  </si>
  <si>
    <t>Inside KSC! May 20, 2016</t>
  </si>
  <si>
    <t>Inside KSC this week, dozens of collegiate teams converged on the Kennedy Space Center Visitor Complex to compete in the 7th annual Robotic Mining Competition, and space shuttle astronauts Brian Duffy and Scott Parazynski were inducted into the U.S. Astronaut Hall of Fame.</t>
  </si>
  <si>
    <t>1sOaR5IkyIs</t>
  </si>
  <si>
    <t>2016 05 13</t>
  </si>
  <si>
    <t>https://youtu.be/-wr_caHW_9Y</t>
  </si>
  <si>
    <t>InsideKSC! May 13, 2016</t>
  </si>
  <si>
    <t>Inside KSC this week, Jacobs employees on NASA's Test and Operations Support Contract participated in skills challenges -- including a forklift rodeo -- to highlight safety, and college teams prepare to demonstrate their robots during the 2016 Robotic Mining Competition, May 16-20.</t>
  </si>
  <si>
    <t>-wr_caHW_9Y</t>
  </si>
  <si>
    <t>2016 05 09</t>
  </si>
  <si>
    <t>https://youtu.be/qnOmIWbp19k</t>
  </si>
  <si>
    <t>First Work Platforms Tested in Vehicle Assembly Building</t>
  </si>
  <si>
    <t>The first new work platforms for NASA's Space Launch System (SLS) were powered on and tested in the Vehicle Assembly Building High Bay 3 at the agency's Kennedy Space Center in Florida. During a preliminary test April 28, the two J-level platforms were extended to test their motors, tracks and roller systems for functionality. The J-level platforms are one of ten levels of platforms that will surround the Space Launch System rocket and Orion spacecraft during processing.</t>
  </si>
  <si>
    <t>qnOmIWbp19k</t>
  </si>
  <si>
    <t>2016 05 06</t>
  </si>
  <si>
    <t>https://youtu.be/k6-hkOmAwls</t>
  </si>
  <si>
    <t>Inside KSC! May 6, 2016</t>
  </si>
  <si>
    <t>Inside KSC this week, hundreds of young students had an opportunity to see, first-hand, what their parents and friends do in their jobs at Kennedy during Take a Child to Work Day. NASA's commercial crew astronauts recently tried out new generation simulators at the Boeing facility in St. Louis. Back at Kennedy, preparations to support NASA's new Space Launch System rocket continue inside the Vehicle Assembly Building where work platforms were powered on tested for the first time.</t>
  </si>
  <si>
    <t>k6-hkOmAwls</t>
  </si>
  <si>
    <t>2016 04 29</t>
  </si>
  <si>
    <t>https://youtu.be/RZ9j97zxWUo</t>
  </si>
  <si>
    <t>Kennedy's Launch Pad 39B Transforms for Launch of Largest Rocket Ever</t>
  </si>
  <si>
    <t>In the Launch Pad 39B north flame trench at NASA’s Kennedy Space Center in Florida, construction workers prepare the concrete walls for new heat-resistant bricks. The Pad B flame trench is being refurbished to support the launch of NASA’s Space Launch System rocket. The Ground Systems Development and Operations Program at Kennedy is helping transform the space center into a multi-user spaceport and prepare for Exploration Mission 1, deep-space missions, and the journey to Mars. For more information about GSDO, visit: www.nasa.gov/groundsystems.</t>
  </si>
  <si>
    <t>RZ9j97zxWUo</t>
  </si>
  <si>
    <t>https://youtu.be/eNcfhrJ34NA</t>
  </si>
  <si>
    <t>Inside KSC! April 29, 2016</t>
  </si>
  <si>
    <t>Inside KSC this week, students from across the country compete in the first annual Swarmathon challenge, and NASA selects Orbital ATK to begin negotiations on an agreement to assembly and test a new series of rockets in the Vehicle Assembly Building.</t>
  </si>
  <si>
    <t>eNcfhrJ34NA</t>
  </si>
  <si>
    <t>2016 04 26</t>
  </si>
  <si>
    <t>https://youtu.be/uIsn-EGs1p4</t>
  </si>
  <si>
    <t>Simulators Offer Astronauts Glimpse of Future Flight</t>
  </si>
  <si>
    <t>NASA Commercial Crew astronauts Eric Boe and Suni Williams practiced mission operations for Boeing's CST-100 Starliner using a part-task trainer designed to mimic the controls and behavior of the spacecraft. They are part of a suite of cloud-based and hands-on trainers that Boeing has built to prepare astronauts and mission controllers. The trainers will be shipped to NASA's Johnson Space Center in Houston this year so astronauts can use them daily to practice numerous situations from normal operations to unlikely emergencies. The Starliner is one of two spacecraft in development in partnership with NASA's Commercial Crew Program that will enable astronauts to fly to the International Space Station on a new generation of spacecraft made in America and launching from Florida's Space Coast. Working at Boeing's St. Louis facility, Boe and astronaut Suni Williams ran through numerous mission phases to assess the simulators.</t>
  </si>
  <si>
    <t>uIsn-EGs1p4</t>
  </si>
  <si>
    <t>2016 04 22</t>
  </si>
  <si>
    <t>https://youtu.be/qquqG1aU5Sk</t>
  </si>
  <si>
    <t>Inside KSC! April 22, 2016</t>
  </si>
  <si>
    <t>Inside KSC this week, the flame trench at Kennedy Space Center's Launch Pad 39B is strengthened to withstand liftoff of NASA's next-generation heavy-lift rocket, the Space Launch System, and the spaceport marks Earth Day with two days of activities focusing on sustainability.</t>
  </si>
  <si>
    <t>qquqG1aU5Sk</t>
  </si>
  <si>
    <t>2016 04 15</t>
  </si>
  <si>
    <t>https://youtu.be/EP46JOV2Ef4</t>
  </si>
  <si>
    <t>Inside KSC! April 15, 2016</t>
  </si>
  <si>
    <t>Inside KSC this week, the eighth SpaceX cargo resupply mission delivered almost 7,000 pounds of supplies and science experiments to the International Space Station, and the Center Planning and Development Directorate hosted a Partnership Landscape Forum for current and prospective partners.</t>
  </si>
  <si>
    <t>EP46JOV2Ef4</t>
  </si>
  <si>
    <t>2016 04 08</t>
  </si>
  <si>
    <t>https://youtu.be/vLcz34UdBJg</t>
  </si>
  <si>
    <t>SpaceX CRS-8 Lifts Off from Cape Canaveral</t>
  </si>
  <si>
    <t>The SpaceX CRS-8 Falcon 9 rocket lifts off from Space Launch Complex 40 at Cape Canaveral Air Force Station sending a Dragon spacecraft on the company's eighth commercial resupply services mission to the International Space Station. Liftoff was at 4:43 p.m. EDT.</t>
  </si>
  <si>
    <t>vLcz34UdBJg</t>
  </si>
  <si>
    <t>https://youtu.be/bkJ3DueQVt4</t>
  </si>
  <si>
    <t>Inside KSC! April 8, 2015</t>
  </si>
  <si>
    <t>Inside KSC this week, we look at the CRS-8 mission carrying experiments and supplies to the International Space Station and the latest work platform to arrive for installation inside the Vehicle Assembly Building for SLS and Orion missions.</t>
  </si>
  <si>
    <t>bkJ3DueQVt4</t>
  </si>
  <si>
    <t>2016 04 01</t>
  </si>
  <si>
    <t>https://youtu.be/TQfR6XF69mo</t>
  </si>
  <si>
    <t>Inside KSC! April 1, 2016</t>
  </si>
  <si>
    <t>Inside KSC this week, the Crew Access Arm's water deluge system is tested as NASA partner Boeing moves ahead with its Commercial Crew Program planning. Also, the plant pillows for the Veggie-3 experiments scheduled to fly to space next week have been packed with seeds and are ready for flight.</t>
  </si>
  <si>
    <t>TQfR6XF69mo</t>
  </si>
  <si>
    <t>2016 03 31</t>
  </si>
  <si>
    <t>https://youtu.be/U_lrfcsgUbY</t>
  </si>
  <si>
    <t>AstroViews  Cady Coleman</t>
  </si>
  <si>
    <t>Astronaut Cady Coleman, a veteran of space shuttle and International Space Station missions, discusses spaceflight, NASA's drive into the future and what exploration and technological advancement means for those on Earth.</t>
  </si>
  <si>
    <t>U_lrfcsgUbY</t>
  </si>
  <si>
    <t>2016 03 30</t>
  </si>
  <si>
    <t>https://youtu.be/uO1QZEH62Pw</t>
  </si>
  <si>
    <t>KSC Safety and Health  Faith Chandler on Enduring a Catastrophic Loss</t>
  </si>
  <si>
    <t>Faith Chandler, director for strategic integration within NASA's Office of Chief Technologist, speaks to employees at NASA's Kennedy Space Center in Florida about how to endure a catastrophic loss. The discussion was part of Kennedy's annual Safety and Health Days.</t>
  </si>
  <si>
    <t>uO1QZEH62Pw</t>
  </si>
  <si>
    <t>2016 03 28</t>
  </si>
  <si>
    <t>https://youtu.be/GpJDskL7Sx0</t>
  </si>
  <si>
    <t>Crew Access Arm Water Deluge Test for Boeing ULA</t>
  </si>
  <si>
    <t>Engineers and technicians gathered at dusk recently at a construction site near Kennedy Space Center in Florida to test systems that will support Boeing’s CST-100 Starliner spacecraft. Read more at http://blogs.nasa.gov/commercialcrew</t>
  </si>
  <si>
    <t>GpJDskL7Sx0</t>
  </si>
  <si>
    <t>2016 03 25</t>
  </si>
  <si>
    <t>https://youtu.be/hrKzwYUY1E8</t>
  </si>
  <si>
    <t>Inside KSC! March 25, 2016</t>
  </si>
  <si>
    <t>This week on Inside KSC!, an Orbital ATK Cygnus module launches to the International Space Station carrying 7,500 pounds of supplies and experiments, and media representatives are given the opportunity to view the Crew Access Arm for Boeing’s CST-100 Starliner.</t>
  </si>
  <si>
    <t>hrKzwYUY1E8</t>
  </si>
  <si>
    <t>2016 03 23</t>
  </si>
  <si>
    <t>https://youtu.be/RV0gXFsJEdA</t>
  </si>
  <si>
    <t>Orbital ATK CRS-6 Lifts off</t>
  </si>
  <si>
    <t>A United Launch Alliance Atlas V rocket lifts off from Space Launch Complex 41 at Cape Canaveral Air Force Station. Liftoff was at 11:05 p.m. EDT. The Orbital ATK CRS-6 Cygnus spacecraft on a commercial resupply services mission to deliver 7,500 pounds of supplies to the International Space Station</t>
  </si>
  <si>
    <t>RV0gXFsJEdA</t>
  </si>
  <si>
    <t>https://youtu.be/FKECWHiFJiA</t>
  </si>
  <si>
    <t>Cygnus Spacecraft Prepared for Orbital ATK CRS-6 Launch</t>
  </si>
  <si>
    <t>At Cape Canaveral Air Force Station's Space Launch Complex 41, a United Launch Alliance Atlas V rocket has been prepared to boost an Orbital ATK Cygnus spacecraft on a resupply mission to the International Space Station.</t>
  </si>
  <si>
    <t>FKECWHiFJiA</t>
  </si>
  <si>
    <t>2016 03 18</t>
  </si>
  <si>
    <t>https://youtu.be/OkhJJ0aZnoc</t>
  </si>
  <si>
    <t>Cygnus Cargo Craft Set to Resupply Station</t>
  </si>
  <si>
    <t>To ensure research aboard the International Space Station continues uninterrupted, NASA at the Kennedy Space Center is preparing to launch a Cygnus spacecraft to provide needed supplies to the orbiting outpost.</t>
  </si>
  <si>
    <t>OkhJJ0aZnoc</t>
  </si>
  <si>
    <t>https://youtu.be/CyJRyt7AKI4</t>
  </si>
  <si>
    <t>Inside KSC! for March 18, 2016</t>
  </si>
  <si>
    <t>Another work platform has arrived at KSC as the Vehicle Assembly Building is prepared for the Space Launch System. Members of the news media recently saw up-close a Cygnus spacecraft that soon will deliver supplies to the International Space Station.</t>
  </si>
  <si>
    <t>CyJRyt7AKI4</t>
  </si>
  <si>
    <t>2016 03 16</t>
  </si>
  <si>
    <t>https://youtu.be/f9xw79nK5ec</t>
  </si>
  <si>
    <t>Cape Canaveral's Historic Hangar S  America's Cradle of Human Space Exploration</t>
  </si>
  <si>
    <t>Historic Hangar S played key roles in NASA's spaceflight programs from Project Mercury to the space shuttle.</t>
  </si>
  <si>
    <t>f9xw79nK5ec</t>
  </si>
  <si>
    <t>2016 03 14</t>
  </si>
  <si>
    <t>https://youtu.be/yZvXt82CqwM</t>
  </si>
  <si>
    <t>Kennedy Space Center GO!</t>
  </si>
  <si>
    <t>NASA's Kennedy Space Center in Florida has supported many of the historic missions in the exploration and utilization of space. Now a 21st century, multi-user spaceport, Kennedy is GO to support a broad variety of efforts to improve life on Earth and prepare for the journey to Mars and beyond.</t>
  </si>
  <si>
    <t>yZvXt82CqwM</t>
  </si>
  <si>
    <t>2016 03 11</t>
  </si>
  <si>
    <t>https://youtu.be/eFgjqCEuE1k</t>
  </si>
  <si>
    <t>Inside KSC! for March 11, 2016</t>
  </si>
  <si>
    <t>Kennedy Space Center's iconic countdown clock finds a new home, the spaceport's director briefs community leaders and volunteers are needed for the upcoming FIRST Robotics Competition -- all are topics covered in this week's edition of Inside KSC!</t>
  </si>
  <si>
    <t>eFgjqCEuE1k</t>
  </si>
  <si>
    <t>2016 03 07</t>
  </si>
  <si>
    <t>https://youtu.be/dbHwou_o96g</t>
  </si>
  <si>
    <t>Commercial Crew's Safety Focus</t>
  </si>
  <si>
    <t>While Boeing and SpaceX design, develop, test and evaluate systems to take astronauts to the International Space Station, NASA is sharing its 50 years of human spaceflight knowledge to ensure compliance to the agency’s human spaceflight requirements.</t>
  </si>
  <si>
    <t>dbHwou_o96g</t>
  </si>
  <si>
    <t>2016 03 04</t>
  </si>
  <si>
    <t>https://youtu.be/FUGofLb587c</t>
  </si>
  <si>
    <t>Inside KSC! for March 4, 2016</t>
  </si>
  <si>
    <t>This week Inside KSC! looks at pathfinder solid rocket booster segments helping prepare for the first liftoff of the Space Launch System. Also, Scott Kelly returned to Earth after a year in space conducting research such as Kennedy's Veggie experiment.</t>
  </si>
  <si>
    <t>FUGofLb587c</t>
  </si>
  <si>
    <t>2016 03 03</t>
  </si>
  <si>
    <t>https://youtu.be/z6MlHg5avsg</t>
  </si>
  <si>
    <t>Iconic Countdown Clock Unveiled at the Kennedy Space Center Visitor Complex</t>
  </si>
  <si>
    <t>The former countdown clock from Kennedy Space Center’s Press Site was unveiled March 1 at its new location near the entrance of the Kennedy Space Center Visitor Complex in Florida. The clock is considered one of the most-watched timepieces in the world and became part of the Kennedy landscape during the Apollo era. It ticked off the progression of launches ranging from moon landings to Skylab crew launches to the historic liftoff of the Apollo-Soyuz mission in 1975. That mission saw NASA and the Soviet space program connect in space as a precursor of the cooperation now in full effect aboard the International Space Station and its critical research. All the space shuttle missions and scores of planetary probes and Earth-focused observatories also lifted off in the background of the steadily clicking clock.</t>
  </si>
  <si>
    <t>z6MlHg5avsg</t>
  </si>
  <si>
    <t>2016 03 02</t>
  </si>
  <si>
    <t>https://youtu.be/Oqj3s4RoB_M</t>
  </si>
  <si>
    <t>Kennedy Launches NASA's Journey to Mars</t>
  </si>
  <si>
    <t>NASA's five decades of robotic Mars exploration now is leading human pioneers on the journey to the Red Planet establishing an ongoing presence in the solar system.</t>
  </si>
  <si>
    <t>Oqj3s4RoB_M</t>
  </si>
  <si>
    <t>2016 02 29</t>
  </si>
  <si>
    <t>https://youtu.be/Iq02CZZQgUs</t>
  </si>
  <si>
    <t>AstroViews  Suni Williams</t>
  </si>
  <si>
    <t>Astronaut Suni Williams, who has flown space shuttles, Russian Soyuz spacecraft and lived on the International Space Station, discusses spacecraft in development with NASA's Commercial Crew Program along with aspects of her missions.</t>
  </si>
  <si>
    <t>Iq02CZZQgUs</t>
  </si>
  <si>
    <t>https://youtu.be/fa5tYn4MU-I</t>
  </si>
  <si>
    <t>Astronaut Victor Glover Speaks About Safety &amp; Health</t>
  </si>
  <si>
    <t>Astronaut Victor Glover speaks to employees at the Kennedy Space Center about the crucial role of attention to detail to ensure safety and health.</t>
  </si>
  <si>
    <t>fa5tYn4MU-I</t>
  </si>
  <si>
    <t>2016 02 26</t>
  </si>
  <si>
    <t>https://youtu.be/9B_YawQKW4Q</t>
  </si>
  <si>
    <t>Inside  KSC! Feb. 26, 2016</t>
  </si>
  <si>
    <t>Inside KSC this week, center firefighters practiced with an airplane mock-up for real-life emergencies and the Vehicle Assembly Building continues its progression to ready the Space Launch System rocket and Orion spacecraft for flight.</t>
  </si>
  <si>
    <t>9B_YawQKW4Q</t>
  </si>
  <si>
    <t>2016 02 19</t>
  </si>
  <si>
    <t>https://youtu.be/10eum__SZ5k</t>
  </si>
  <si>
    <t>NASCAR's Carl Edwards Visits Spaceport</t>
  </si>
  <si>
    <t>NASCAR driver Carl Edwards stopped by NASA's Kennedy Space Center in Florida ahead of the Daytona 500 for a behind-the-scenes tour -- and a chance to get behind the wheel of one of the spaceport's specialized cars, the Mine-resistant, Ambush-protected vehicle known as MRAP.</t>
  </si>
  <si>
    <t>10eum__SZ5k</t>
  </si>
  <si>
    <t>2016 02 18</t>
  </si>
  <si>
    <t>https://youtu.be/VXYjJSyIkg4</t>
  </si>
  <si>
    <t>Inside KSC! Feb. 19, 2016</t>
  </si>
  <si>
    <t>Inside KSC this week, the Orbital ATK Cygnus spacecraft is taking shape for its upcoming commercial resupply flight to the International Space Station, and NASCAR driver Carl Edwards visited Kennedy ahead of the Daytona 500.</t>
  </si>
  <si>
    <t>VXYjJSyIkg4</t>
  </si>
  <si>
    <t>2016 02 17</t>
  </si>
  <si>
    <t>https://youtu.be/8dbjoLCmxRU</t>
  </si>
  <si>
    <t>Orion Spacecraft Arrives for Exploration Mission-1</t>
  </si>
  <si>
    <t>On Feb. 1, 2016, the pressure vessel for an Orion spacecraft arrived at the Shuttle Landing Facility operated by Space Florida at Kennedy. Late in 2018, this spacecraft will lift off atop NASA's Space Launch System rocket on the vehicle's maiden voyage.</t>
  </si>
  <si>
    <t>8dbjoLCmxRU</t>
  </si>
  <si>
    <t>2016 02 12</t>
  </si>
  <si>
    <t>https://youtu.be/sDKNIk93S5g</t>
  </si>
  <si>
    <t>Inside KSC! Feb. 12, 2016</t>
  </si>
  <si>
    <t>Inside KSC this week, scientists here at the Kennedy Space Center are participating in a joint effort with crews aboard the International Space Station to study how to grow food during long space journeys. Employees at the Florida spaceport recently participated in a series of programs emphasizing the importance of keeping health and safety paramount every day.</t>
  </si>
  <si>
    <t>sDKNIk93S5g</t>
  </si>
  <si>
    <t>2016 02 05</t>
  </si>
  <si>
    <t>https://youtu.be/38qTfP3jcL8</t>
  </si>
  <si>
    <t>Inside KSC! Feb. 5, 2016</t>
  </si>
  <si>
    <t>Inside KSC this week, the Orion crew module pressure vessel for NASA’s Exploration Mission-1, or EM-1, arrived at Kennedy Space Center on Feb. 1 aboard the agency's Super Guppy for assembly and processing for the landmark mission that will help NASA make an eventual journey to Mars.
Written by: Frank Ochoa-Gonzales
Produced by Frank Michaux
Edited by Chris Chamberland</t>
  </si>
  <si>
    <t>38qTfP3jcL8</t>
  </si>
  <si>
    <t>2016 01 28</t>
  </si>
  <si>
    <t>https://youtu.be/WaM7PjxflCU</t>
  </si>
  <si>
    <t>Inside KSC! Jan. 29, 2016</t>
  </si>
  <si>
    <t>Inside KSC this week, the Kennedy Space Center workforce, visitors and guests gathered Jan. 28 for the NASA Day of Remembrance, ;honoring the crews of Apollo 1,  and space shuttles Challenger and Columbia. An aft skirt like one that will be used on a solid rocket booster for NASA's Space Launch System rocket was moved to the Rotation, Processing and Surge Facility to prepare for testing.
Written by Linda Herridge
Produced by Frank Michaux
Edited by Chris Chamberland</t>
  </si>
  <si>
    <t>WaM7PjxflCU</t>
  </si>
  <si>
    <t>2016 01 27</t>
  </si>
  <si>
    <t>https://youtu.be/4PG438XSarg</t>
  </si>
  <si>
    <t>SpaceX Tests Crew Dragon Parachutes</t>
  </si>
  <si>
    <t>SpaceX performed a successful test of its parachute system for the Crew Dragon spacecraft near Coolidge, Arizona, as part of its final development and certification work with NASA's Commercial Crew Program. Using a weight simulant in the place of a boilerplate spacecraft, four main parachutes were rigged to deploy just as they would when the Crew Dragon returns to Earth with astronauts aboard. Initially, the spacecraft will splash down safely in the ocean under parachutes, but ultimately the company wants to land the vehicle on land using eight SuperDraco engines. 
SpaceX recently tested to propulsive land landing ability in Texas.</t>
  </si>
  <si>
    <t>4PG438XSarg</t>
  </si>
  <si>
    <t>2016 01 22</t>
  </si>
  <si>
    <t>https://youtu.be/G46MuTjvgFI</t>
  </si>
  <si>
    <t>Inside KSC! Jan. 22, 2016</t>
  </si>
  <si>
    <t>Inside KSC this week, NASA's Launch Services Program oversees the successful flight to orbit of the Jason-3 spacecraft. Also, the pressurized cargo module of an Orbital ATK Cygnus arrived for processing ahead of its March cargo resupply mission to the International Space Station.</t>
  </si>
  <si>
    <t>G46MuTjvgFI</t>
  </si>
  <si>
    <t>2016 01 17</t>
  </si>
  <si>
    <t>https://youtu.be/sqgffDXi5II</t>
  </si>
  <si>
    <t>Interview with Jason-3 project manager</t>
  </si>
  <si>
    <t>Following the successful liftoff of a Falcon 9 rocket and deployment of the Jason-3 spacecraft, NASA's Parag Vaze, Jason-3 project manager at the Jet Propulsion Laboratory speaks with George Diller of NASA Communications.</t>
  </si>
  <si>
    <t>sqgffDXi5II</t>
  </si>
  <si>
    <t>https://youtu.be/pzJxhtVJwmE</t>
  </si>
  <si>
    <t>Interview with NASA Launch Manager (Jason-3)</t>
  </si>
  <si>
    <t>Following the successful liftoff of a Falcon 9 rocket and deployment of the Jason-3 spacecraft, NASA Launch Manager Tim Dunn speaks with George Diller of NASA Communications.</t>
  </si>
  <si>
    <t>pzJxhtVJwmE</t>
  </si>
  <si>
    <t>https://youtu.be/dBFO4y0tO0M</t>
  </si>
  <si>
    <t>Jason-3 Spacecraft Separates from Upper Stage</t>
  </si>
  <si>
    <t>NASA and industry managers celebrate as the Jason-3 satellite separates from its Falcon 9 upper stage minutes after liftoff. The spacecraft will begin a mission to help provide scientists with essential information about global and regional changes in the seas.</t>
  </si>
  <si>
    <t>dBFO4y0tO0M</t>
  </si>
  <si>
    <t>https://youtu.be/m3BRi7XcELM</t>
  </si>
  <si>
    <t>Liftoff of Jason-3</t>
  </si>
  <si>
    <t>A SpaceX Falcon 9 rocket lifts off from Space Launch Complex 4 at Vandenberg Air Force Base carrying the Jason-3 spacecraft. Liftoff was at 10:42 a.m. PST (1:42 p.m. EST). NASA launched Jason-3 into orbit for NOAA, the National Oceanic and Atmospheric Administration, the French space agency and EUMETSAT, the European Organization for the Exploitation of Meteorological Satellites.</t>
  </si>
  <si>
    <t>m3BRi7XcELM</t>
  </si>
  <si>
    <t>https://youtu.be/kVWlbYrHTgI</t>
  </si>
  <si>
    <t>Jason-3, Falcon 9 are  Go  for Launch</t>
  </si>
  <si>
    <t>In the launch control center at Vandenberg Air Force Base, NASA and contractor managers and engineers monitor progress in the countdown to launch a Falcon 9 rocket and confirm all is ready for liftoff. The launch vehicle will boost the Jason-3 spacecraft on a mission to study global and regional changes in the seas.</t>
  </si>
  <si>
    <t>kVWlbYrHTgI</t>
  </si>
  <si>
    <t>https://youtu.be/36nO9ebt73Q</t>
  </si>
  <si>
    <t>News Media Views Falcon 9</t>
  </si>
  <si>
    <t>Members of the news media gather at Space Launch Complex 4 at Vandenberg Air Force Base in California to photograph a SpaceX Falcon 9 rocket. The launch vehicle is poised to boost the Jason-3 satellite to help scientists continue studies of the seas from the vantage point of 830 miles above the Earth.</t>
  </si>
  <si>
    <t>36nO9ebt73Q</t>
  </si>
  <si>
    <t>https://youtu.be/QH4M9ZOqXhY</t>
  </si>
  <si>
    <t>Jason-3 Ready for Launch atop Falcon 9</t>
  </si>
  <si>
    <t>At Space Launch Complex 4 at Vandenberg Air Force Base in California, a SpaceX Falcon 9 rocket stands ready to boost the Jason-3 spacecraft into orbit for NOAA, the National Oceanic and Atmospheric Administration, the French space agency and EUMETSAT, the European Organization for the Exploitation of Meteorological Satellites.</t>
  </si>
  <si>
    <t>QH4M9ZOqXhY</t>
  </si>
  <si>
    <t>2016 01 15</t>
  </si>
  <si>
    <t>https://youtu.be/3kYiK6Bbt3I</t>
  </si>
  <si>
    <t>Inside KSC! Jan. 15, 2016</t>
  </si>
  <si>
    <t>Inside KSC! this week, NASA's Launch Services Program, based at Kennedy, is preparing to launch the Jason-3 mission from Vandenberg AFB in California to monitor changes in the world's oceans.
Written by Steven Siceloff
Produced by Frank Michaux
Edited by Mike Chambers</t>
  </si>
  <si>
    <t>3kYiK6Bbt3I</t>
  </si>
  <si>
    <t>https://youtu.be/wA4XRpZ9gms</t>
  </si>
  <si>
    <t>Jason-3  Studying the Earth's Oceans from Space</t>
  </si>
  <si>
    <t>To provide scientists with essential information about global and regional changes in the seas, NASA will launch the Jason-3 satellite from Vandenberg Air Force Base in California.</t>
  </si>
  <si>
    <t>wA4XRpZ9gms</t>
  </si>
  <si>
    <t>2016 01 08</t>
  </si>
  <si>
    <t>https://youtu.be/ZqzH0Gm6gnc</t>
  </si>
  <si>
    <t>Inside KSC! Jan. 8, 2016</t>
  </si>
  <si>
    <t>Take a look at what 2016 offers for space exploration and NASA's Kennedy Space Center in this episode kicking off the new year of Inside KSC!
Written by Steven Siceloff
Produced by Frank Michaux
Edited by</t>
  </si>
  <si>
    <t>ZqzH0Gm6gnc</t>
  </si>
  <si>
    <t>2015 12 24</t>
  </si>
  <si>
    <t>https://youtu.be/cQ_IueWEPas</t>
  </si>
  <si>
    <t>Liftoff of SpaceX Falcon 9 ORBCOMM-2</t>
  </si>
  <si>
    <t>A SpaceX Falcon 9 rocket lifts off from Space Launch Complex 40 at Florida's Cape Canaveral Air Force Station carrying 11 satellites for ORBCOMM.</t>
  </si>
  <si>
    <t>cQ_IueWEPas</t>
  </si>
  <si>
    <t>https://youtu.be/hCeIG06iAEA</t>
  </si>
  <si>
    <t>SpaceX Falcon 9 Booster Lands After Orbcomm Launch</t>
  </si>
  <si>
    <t>The first stage of a SpaceX Falcon 9 rocket returned to Earth and landed safely six miles from its launch pad at Cape Canaveral Air Force Station on Dec. 21, 2015, after helping deliver 11 Orbcomm satellites to orbit. It was the first time a booster of its kind was successfully recovered in such a manner.</t>
  </si>
  <si>
    <t>hCeIG06iAEA</t>
  </si>
  <si>
    <t>2015 12 23</t>
  </si>
  <si>
    <t>https://youtu.be/Yn7_4GRqtOk</t>
  </si>
  <si>
    <t>First Work Platform for NASA's Space Launch System Installed in Vehicle Assembly Building</t>
  </si>
  <si>
    <t>This time-lapse video shows installation of the K-level work platform for NASA's Space Launch System in High Bay 3 of the Vehicle Assembly Building at Kennedy Space Center in Florida.</t>
  </si>
  <si>
    <t>Yn7_4GRqtOk</t>
  </si>
  <si>
    <t>2015 12 22</t>
  </si>
  <si>
    <t>https://youtu.be/QpyvBa9nm2w</t>
  </si>
  <si>
    <t>2015  NASA's Commercial Crew Advances Toward Flight</t>
  </si>
  <si>
    <t>NASA and its partners are on track to launch astronauts from Florida’s Space Coast to the International Space Station as soon as 2017, thanks to critical progress made in 2015. Through partnerships with NASA’s Commercial Crew Program, Boeing and SpaceX are developing a new generation of American rockets and spacecraft to open low-Earth orbit like never before. Commercial crew missions will increase the number of astronauts aboard the space station from six to seven, doubling the amount of crew time to conduct scientific research off the Earth, for the Earth, while advancing the journey to Mars. This year, both companies began to lock in their designs, paving the way for flight tests that will begin as early as 2016.</t>
  </si>
  <si>
    <t>QpyvBa9nm2w</t>
  </si>
  <si>
    <t>2015 12 18</t>
  </si>
  <si>
    <t>https://youtu.be/uDiBIXksBrs</t>
  </si>
  <si>
    <t>Inside KSC! Dec. 18, 2015</t>
  </si>
  <si>
    <t>Inside KSC this week, NASA’s four Commercial Crew astronauts join in a topping-off ceremony for the Crew Access Tower at Space Launch Complex 41. Also, a wearable technology known as IDEAS is showcased at a demonstration in Orlando.
Written by Steven Siceloff
Produced by Frank Michaux
Edited by Frankie Martin</t>
  </si>
  <si>
    <t>uDiBIXksBrs</t>
  </si>
  <si>
    <t>2015 12 17</t>
  </si>
  <si>
    <t>https://youtu.be/ZtUmo_8NLGE</t>
  </si>
  <si>
    <t>Astronauts Tour Starliner White Room, Celebrate Topping of Access Tower</t>
  </si>
  <si>
    <t>Astronauts training for test flights with NASA’s Commercial Crew Program – Bob Behnken, Eric Boe, Doug Hurley and Suni Williams – toured the Crew Access Arm and White Room under construction near Kennedy Space Center in Florida on Dec. 10. Later they took part in a traditional "topping off" ceremony for the Crew Access Tower to which the arm and white room will eventually be installed at Cape Canaveral Air Force Station’s Space Launch Complex 41. Thanking employees for months of construction work, the astronauts watched along with employees as the beam was hoisted and welded into place. Boeing will launch astronauts aboard the CST-100 Starliner spacecraft atop a United Launch Alliance Atlas V rocket to the International Space Station, first flying an uncrewed test flight in 2017.</t>
  </si>
  <si>
    <t>ZtUmo_8NLGE</t>
  </si>
  <si>
    <t>2015 12 11</t>
  </si>
  <si>
    <t>https://youtu.be/loqk1PaoFcw</t>
  </si>
  <si>
    <t>Inside KSC! Dec. 11, 2015</t>
  </si>
  <si>
    <t>Inside KSC this week, a United Launch Alliance Atlas V rocket launches Orbital ATK's Cygnus spacecraft loaded with supplies to the International Space Station. Also, representatives of NASA's international partners saw the Commercial Crew facilities coming together at Kennedy.</t>
  </si>
  <si>
    <t>loqk1PaoFcw</t>
  </si>
  <si>
    <t>2015 12 07</t>
  </si>
  <si>
    <t>https://youtu.be/hM5fcxFwcHk</t>
  </si>
  <si>
    <t>Interview with ‎Orbital ATK Vice President Frank DeMauro</t>
  </si>
  <si>
    <t>NASA launch commentator Mike Curie interviews ‎Orbital ATK Vice President Frank DeMauro following the successful launch of a Cygnus spacecraft carrying more than 7,000 pounds of supplies to the International Space Station.</t>
  </si>
  <si>
    <t>hM5fcxFwcHk</t>
  </si>
  <si>
    <t>2015 12 06</t>
  </si>
  <si>
    <t>https://youtu.be/bHY-yUA4Hds</t>
  </si>
  <si>
    <t>Orbital ATK CRS-4 Cygnus Spacecraft Separation</t>
  </si>
  <si>
    <t>The enhanced Cygnus spacecraft separates from the Centaur upper stage of an Atlas V rocket minutes after liftoff as it continues on a commercial resupply services mission to the International Space Station. Liftoff took place at Cape Canaveral Air Force Station's Space Launch Complex 41 at 4:44 p.m. EST.</t>
  </si>
  <si>
    <t>bHY-yUA4Hds</t>
  </si>
  <si>
    <t>https://youtu.be/UlqFAKJuK24</t>
  </si>
  <si>
    <t>Liftoff of Orbital ATK CRS-4</t>
  </si>
  <si>
    <t>A United Launch Alliance Atlas V rocket lifts off from Space Launch Complex 41 at Cape Canaveral Air Force Station carrying an enhanced Orbital ATK CRS-4 Cygnus spacecraft on a commercial resupply services mission to the International Space Station. Liftoff was at 4:44 p.m. EST.</t>
  </si>
  <si>
    <t>UlqFAKJuK24</t>
  </si>
  <si>
    <t>https://youtu.be/MCRssVdabEg</t>
  </si>
  <si>
    <t>Atlas V Ready to Launch Cygnus Spacecraft</t>
  </si>
  <si>
    <t>MCRssVdabEg</t>
  </si>
  <si>
    <t>https://youtu.be/Z-7xQzrovTQ</t>
  </si>
  <si>
    <t>Countdown Again Underway for Orbital ATK CRS-4</t>
  </si>
  <si>
    <t>Following several postponements for weather, United Launch Alliance Atlas V rocket stands ready to lift off from Cape Canaveral Air Force Station's Space Launch Complex 41. The Orbital ATK CRS-4 mission is to boost an enhanced Cygnus spacecraft on a commercial resupply services mission delivering supplies to the International Space Station.</t>
  </si>
  <si>
    <t>Z-7xQzrovTQ</t>
  </si>
  <si>
    <t>2015 12 04</t>
  </si>
  <si>
    <t>https://youtu.be/mpzH8Hablwg</t>
  </si>
  <si>
    <t>Orbital ATK CRS-4 Launch Postponed Due to High Winds</t>
  </si>
  <si>
    <t>Because of wind gusts that exceeded the weather criteria for launching, Orbital ATK and United Launch Alliance have postponed the planned launch of the Atlas V rocket carrying the Cygnus spacecraft. Lift off has been rescheduled for a 30 minute launch window opening at 5:10 p.m., Saturday, Dec. 5.</t>
  </si>
  <si>
    <t>mpzH8Hablwg</t>
  </si>
  <si>
    <t>https://youtu.be/8YXIZUxxImQ</t>
  </si>
  <si>
    <t>Second Countdown Underway for Orbital ATK CRS-4</t>
  </si>
  <si>
    <t>A United Launch Alliance Atlas V rocket stands ready for a second attempt to lift off from Cape Canaveral Air Force Station's Space Launch Complex 41. The Orbital ATK CRS-4 mission is to boost an enhanced Cygnus spacecraft on a commercial resupply services mission delivering supplies to the International Space Station.</t>
  </si>
  <si>
    <t>8YXIZUxxImQ</t>
  </si>
  <si>
    <t>https://youtu.be/abKTvFTdfd4</t>
  </si>
  <si>
    <t>Inside KSC! Dec. 4, 2015</t>
  </si>
  <si>
    <t>Inside KSC this week, the latest work platform segment destined for the Vehicle Assembly Building arrives at Kennedy. It is designed to support the SLS rocket and Orion spacecraft as they are processed for deep space missions. Also, the SAGE III instrument was brought to Kennedy for processing ahead of launch to the International Space Station next year where it will monitor Earth's atmosphere.
Written by Steven Siceloff
Produced by Frank Michaux
Edited by Frankie Martin</t>
  </si>
  <si>
    <t>abKTvFTdfd4</t>
  </si>
  <si>
    <t>2015 12 03</t>
  </si>
  <si>
    <t>https://youtu.be/3SA4V1s_u1I</t>
  </si>
  <si>
    <t>Countdown Underway for Orbital ATK CRS-4</t>
  </si>
  <si>
    <t>At Cape Canaveral Air Force Station's Space Launch Complex 41, a United Launch Alliance Atlas V rocket stands ready to boost an enhanced Orbital ATK CRS-4 spacecraft on a commercial resupply services mission to deliver supplies to the International Space Station.</t>
  </si>
  <si>
    <t>3SA4V1s_u1I</t>
  </si>
  <si>
    <t>https://youtu.be/6yfRzMk6jd8</t>
  </si>
  <si>
    <t>Orbital ATK CRS-4 Atlas V Rolls to Launch Pad</t>
  </si>
  <si>
    <t>This time-lapse video shows the United Launch Alliance Atlas V rocket as it rolls to Launch Pad 41 at Cape Canaveral Air Force Station for the Orbital ATK CRS-4 mission to the International Space Station.</t>
  </si>
  <si>
    <t>6yfRzMk6jd8</t>
  </si>
  <si>
    <t>2015 12 02</t>
  </si>
  <si>
    <t>https://youtu.be/M90MB93o_xQ</t>
  </si>
  <si>
    <t>Cygnus Poised for Scientific Supply Run</t>
  </si>
  <si>
    <t>Orbital ATK's Cygnus spacecraft is poised atop a United Launch Alliance Atlas V rocket for launch to the International Space Station on a NASA mission taking more than 7,300 pounds of equipment and supplies to the orbiting laboratory.</t>
  </si>
  <si>
    <t>M90MB93o_xQ</t>
  </si>
  <si>
    <t>https://youtu.be/I_aNwjprFPY</t>
  </si>
  <si>
    <t>Orbital ATK CRS-4 Ready for Launch to International Space Station</t>
  </si>
  <si>
    <t>NASA is preparing for the launch of Orbital ATK CRS-4, a commercial resupply services mission to the International Space Station.</t>
  </si>
  <si>
    <t>I_aNwjprFPY</t>
  </si>
  <si>
    <t>2015 11 30</t>
  </si>
  <si>
    <t>https://youtu.be/nKB09Bi6BUY</t>
  </si>
  <si>
    <t>Work Platform H Arrives at Kennedy Space Center in Florida</t>
  </si>
  <si>
    <t>The second half of the H level work platforms for the Vehicle Assembly Building High Bay 3 arrives at NASA's Kennedy Space Center in Florida. The H platforms are the third of 10 levels of platforms that will support processing of the Space Launch System rocket and Orion spacecraft for the journey to Mars.</t>
  </si>
  <si>
    <t>nKB09Bi6BUY</t>
  </si>
  <si>
    <t>2015 11 24</t>
  </si>
  <si>
    <t>https://youtu.be/Z1VuefaRrdc</t>
  </si>
  <si>
    <t>Time-Lapse  Laying a Solid Foundation for Kennedy’s Future</t>
  </si>
  <si>
    <t>Construction teams at NASA’s Kennedy Space Center in Florida are laying the foundation for a new headquarters as the spaceport builds its future on decades of success. This time-lapse video is the second in a series chronicling the facility’s rise at the center of Kennedy’s central campus.</t>
  </si>
  <si>
    <t>Z1VuefaRrdc</t>
  </si>
  <si>
    <t>2015 11 20</t>
  </si>
  <si>
    <t>https://youtu.be/jSzjEKQhf14</t>
  </si>
  <si>
    <t>Inside KSC! Nov. 20, 2015</t>
  </si>
  <si>
    <t>Inside KSC this week, Kennedy's Emergency Response Team hones its skills and Orbital ATK's Cygnus spacecraft was shown to the news media ahead of its resupply flight to the International Space Station.
Written by Steven Siceloff
Produced by Frank Michaux
Edited by  Michael Chambers</t>
  </si>
  <si>
    <t>jSzjEKQhf14</t>
  </si>
  <si>
    <t>2015 11 19</t>
  </si>
  <si>
    <t>https://youtu.be/ztEhWeuL_S4</t>
  </si>
  <si>
    <t>Kennedy Leaders Celebrate 15 Years of Ongoing Space Station Work</t>
  </si>
  <si>
    <t>As NASA celebrates 15 consecutive years with humans aboard the International Space Station, Kennedy Space Center Director Bob Cabana joined Josephine Burnett, director of Kennedy's Exploration Research and Technology Programs, in a discussion of the milestone.</t>
  </si>
  <si>
    <t>ztEhWeuL_S4</t>
  </si>
  <si>
    <t>2015 11 18</t>
  </si>
  <si>
    <t>https://youtu.be/F-FwXtxV3f8</t>
  </si>
  <si>
    <t>Innovation Expo 2015 Interviews</t>
  </si>
  <si>
    <t>New ideas and creativity are central to Kennedy Space Center's transition to a 21st-century launch complex supporting a variety of users as the agency lays the groundwork for the journey to Mars. At the spaceport’s annual Innovation Expo, held Oct. 15-17, some of our partners explained why they choose to collaborate with NASA and Kennedy Space Center. For more information on Kennedy partnerships, visit http://kscpartnerships.ksc.nasa.gov.</t>
  </si>
  <si>
    <t>F-FwXtxV3f8</t>
  </si>
  <si>
    <t>2015 11 17</t>
  </si>
  <si>
    <t>https://youtu.be/NMD5pUy9dhc</t>
  </si>
  <si>
    <t>KSCares  Energy Efficient Light Bulbs</t>
  </si>
  <si>
    <t>Making the switch to energy efficient lighting is always a bright idea.
NASA’s Kennedy Space Center in Florida participates in America Recycles Day. For more information on Kennedy’s Sustainability Program, visit: http://www.nasa.gov/centers/kennedy/about/sustainability/index.html</t>
  </si>
  <si>
    <t>NMD5pUy9dhc</t>
  </si>
  <si>
    <t>2015 11 13</t>
  </si>
  <si>
    <t>https://youtu.be/4beUYDuJAis</t>
  </si>
  <si>
    <t>Inside KSC! Nov. 13, 2015</t>
  </si>
  <si>
    <t>Inside KSC this week, the Atlas V booster stage arrives ahead of the launch of the Enhanced Cygnus on a cargo resupply mission to the International Space Station. Also, the Crew Access Tower's main column is in place for Commercial Crew missions by Boeing's CST-100 Starliner.
Written by Steven Siceloff
Produced by Frank Michaux
Edited by Frankie Martin</t>
  </si>
  <si>
    <t>4beUYDuJAis</t>
  </si>
  <si>
    <t>2015 11 06</t>
  </si>
  <si>
    <t>https://youtu.be/IU_sIP9blxM</t>
  </si>
  <si>
    <t>Inside KSC! Nov. 6, 2015 Featuring Suni Williams</t>
  </si>
  <si>
    <t>Commercial Crew astronaut Suni WIlliams hosts this week's Inside KSC marking the 15th anniversary of continuous habitation of the International Space Station. This episode celebrates Kennedy's role in the  construction of the orbiting laboratory along with the center's part in its future.
Written by Steven Siceloff
Produced by Frank Michaux
Edited by Chris Chamberland</t>
  </si>
  <si>
    <t>IU_sIP9blxM</t>
  </si>
  <si>
    <t>https://youtu.be/uD4xh7FE7Hw</t>
  </si>
  <si>
    <t>2015 Innovation Expo Focused on Kennedy's Creative Workforce</t>
  </si>
  <si>
    <t>The Kennedy Space Center's annual Innovation Expo took place Oct. 15-17, 2015 and was designed to encourage NASA and industry employees to continue presenting ideas for advanced technologies. Innovations are modernizing the center's processes and infrastructure for more cost-effective operations, serving multiple users and preparing for the journey to Mars.</t>
  </si>
  <si>
    <t>uD4xh7FE7Hw</t>
  </si>
  <si>
    <t>2015 11 05</t>
  </si>
  <si>
    <t>https://youtu.be/eAVWgLEjNE0</t>
  </si>
  <si>
    <t>KSCares  Clothes Can Be Recycled</t>
  </si>
  <si>
    <t>Shirts. Jackets. Pants. Flight suits. If it's in good condition, someone else will love it even if you don't -- so go ahead and donate it!
NASA’s Kennedy Space Center in Florida participates in America Recycles Day. For more information on Kennedy’s Sustainability Program, visit: http://www.nasa.gov/centers/kennedy/about/sustainability</t>
  </si>
  <si>
    <t>eAVWgLEjNE0</t>
  </si>
  <si>
    <t>2015 11 04</t>
  </si>
  <si>
    <t>https://youtu.be/6ckmQufauDo</t>
  </si>
  <si>
    <t>KSCares  Choose the Recycling Bin</t>
  </si>
  <si>
    <t>Don't throw your recyclable waste into an ordinary trash can. Choose the recycling bin. The Earth will thank you.
NASA's Kennedy Space Center in Florida participates in America Recycles Day.</t>
  </si>
  <si>
    <t>6ckmQufauDo</t>
  </si>
  <si>
    <t>2015 11 03</t>
  </si>
  <si>
    <t>https://youtu.be/WZLmrd2Cvtg</t>
  </si>
  <si>
    <t>Don’t throw your recyclable waste into an ordinary trash can. Choose the recycling bin. Earth will thank you.
NASA’s Kennedy Space Center in Florida participates in America Recycles Day. For more information on Kennedy’s Sustainability Program, visit: http://www.nasa.gov/centers/kennedy/about/sustainability</t>
  </si>
  <si>
    <t>WZLmrd2Cvtg</t>
  </si>
  <si>
    <t>https://youtu.be/hr1XTLC9uqw</t>
  </si>
  <si>
    <t>Crew Access Tower's Main Column Rises</t>
  </si>
  <si>
    <t>Workers stack the elements for the main column of the Crew Access Tower at Space Launch Complex 41. The tower will serve flight crews and support teams for missions by Boeing's CST-100 Starliner spacecraft.</t>
  </si>
  <si>
    <t>hr1XTLC9uqw</t>
  </si>
  <si>
    <t>2015 10 29</t>
  </si>
  <si>
    <t>https://youtu.be/K5sSK4MK6lQ</t>
  </si>
  <si>
    <t>Inside KSC! Oct. 30, 2015</t>
  </si>
  <si>
    <t>Happy Halloween! This week on Inside KSC, see spacewalkers on the International Space Station outfit the orbiting laboratory for future visits by Commercial Crew Program partner spacecraft. Also, Orbital ATK's Cygnus is packed for a supply mission to the station lifting off from KSC in December.
Written by Steven Siceloff
Produced by Frank Michaux
Edited by Mike Chambers</t>
  </si>
  <si>
    <t>K5sSK4MK6lQ</t>
  </si>
  <si>
    <t>2015 10 23</t>
  </si>
  <si>
    <t>https://youtu.be/ZbApD6niDiA</t>
  </si>
  <si>
    <t>NASA Tests Crew Recovery for Orion</t>
  </si>
  <si>
    <t>NASA tested crew recovery procedures Oct. 6-8 in the Neutral Buoyancy Laboratory at the agency's Johnson Space Center in Houston. Team members from NASA's Orion and Ground Systems Development and Operations Programs demonstrated and evaluated techniques for crew recovery.</t>
  </si>
  <si>
    <t>ZbApD6niDiA</t>
  </si>
  <si>
    <t>2015 10 22</t>
  </si>
  <si>
    <t>https://youtu.be/Ia47odj1BlQ</t>
  </si>
  <si>
    <t>Inside KSC! Oct. 23, 2015</t>
  </si>
  <si>
    <t>Inside KSC this week, take a look at the Innovation Expo marking advancements spurred by Kennedy's staff, then listen to Commercial Crew astronauts as they answer questions from social media users!
Written by Steven Siceloff
Produced by Frank Michaux
Edited by Frank Martin</t>
  </si>
  <si>
    <t>Ia47odj1BlQ</t>
  </si>
  <si>
    <t>2015 10 15</t>
  </si>
  <si>
    <t>https://youtu.be/VPEWKBo_wco</t>
  </si>
  <si>
    <t>Inside KSC! Oct. 16, 2015</t>
  </si>
  <si>
    <t>Inside KSC this week, NASA introduces three companies that will launch CubeSats on Venture Class launch vehicles to permit a new era in technology research by a broad range of organizations. Also, Kennedy cut the ribbon to open a new data center that will streamline the center's information technology capabilities.</t>
  </si>
  <si>
    <t>VPEWKBo_wco</t>
  </si>
  <si>
    <t>2015 10 14</t>
  </si>
  <si>
    <t>https://youtu.be/E1z_W8de_s8</t>
  </si>
  <si>
    <t>Virgin Galactic Selected for Venture Class Launches</t>
  </si>
  <si>
    <t>Virgin Galactic’s LauncherOne is an air-launched system that can optimize each mission to customer requirements by operating from a variety of launch sites. Virgin Galactic has full, private funding in place for the program, which includes a dedicated and world-class team of 150 experienced aerospace professionals working from a state-of-the-art 150,000 square foot manufacturing and design facility in Long Beach, California.</t>
  </si>
  <si>
    <t>E1z_W8de_s8</t>
  </si>
  <si>
    <t>https://youtu.be/yEOCq6KcwXo</t>
  </si>
  <si>
    <t>Rocket Lab USA Selected for Venture Class Launches</t>
  </si>
  <si>
    <t>Rocket Lab USA, based in Los Angeles, plans to use its carbon-composite Electron rocket to send CubeSats into space. The Electron is powered by Rocket Lab's Rutherford engine, a 3D printed engine that uses batteries to drive its pumps. Electron is designed to loft about 330 pounds to a 310-mile-high, sun-sychronous orbit, so the rocket can a combination of CubeSats or small satellites.</t>
  </si>
  <si>
    <t>yEOCq6KcwXo</t>
  </si>
  <si>
    <t>https://youtu.be/q422ZkLmcZo</t>
  </si>
  <si>
    <t>Firefly Space Systems Selected for Venture Class Launches</t>
  </si>
  <si>
    <t>Firefly Space Systems, based in Cedar Park, Texas, is developing its Alpha vehicle that uses an aerospike first stage engine powered by refined kerosene and liquid oxygen. The rocket is tailored to payloads weighing about 880 pounds, which means it could launch a variety of CubeSats all at once or a single small satellite or a mix.</t>
  </si>
  <si>
    <t>q422ZkLmcZo</t>
  </si>
  <si>
    <t>https://youtu.be/ss0axWCy6vU</t>
  </si>
  <si>
    <t>Venture Class Launch Services  Three Companies to Launch CubeSats</t>
  </si>
  <si>
    <t>NASA awarded contracts to three companies to build and operate launchers dedicated to CubeSats and small satellites. Firefly Space Systems, Rocket Lab USA and Virgin Galactic are each developing launch systems tailored to the needs of the small satellite community.</t>
  </si>
  <si>
    <t>ss0axWCy6vU</t>
  </si>
  <si>
    <t>https://youtu.be/n_kIH58cxv8</t>
  </si>
  <si>
    <t>Innovation Expo Encourages New Technologies</t>
  </si>
  <si>
    <t>The Kennedy Space Center's Innovation Expo gives employees an opportunity to share new technologies.</t>
  </si>
  <si>
    <t>n_kIH58cxv8</t>
  </si>
  <si>
    <t>2015 10 09</t>
  </si>
  <si>
    <t>https://youtu.be/FGVRNRZXzME</t>
  </si>
  <si>
    <t>Inside KSC! Oct. 9, 2015</t>
  </si>
  <si>
    <t>Inside KSC this week, see students learn about the science behind the hit movie "The Martian" with the cast of the film and Kennedy scientists. Also, see the progress under way on construction of the Central Campus at KSC.
Written by Steven SIceloff
Produced by Frank Michaux
Edited by Mike Chambers</t>
  </si>
  <si>
    <t>FGVRNRZXzME</t>
  </si>
  <si>
    <t>2015 10 02</t>
  </si>
  <si>
    <t>https://youtu.be/rRyeTkE4glM</t>
  </si>
  <si>
    <t>Inside KSC! October 2, 2015</t>
  </si>
  <si>
    <t>Inside KSC this week, see steps taken to prepare the ground support systems needed by the Space Launch System rocket and Orion spacecraft to enable NASA's journey to Mars. Platforms continue to arrive at Kennedy where they will be installed in the Vehicle Assembly Building for the SLS and Orion. Also, one of the umbilical arms for the rocket was installed on a test stand for evaluations before it is installed on the Mobile Launcher.
Written by Steven Siceloff
Produced by Frank Michaux
Edited by Mike Chambers</t>
  </si>
  <si>
    <t>rRyeTkE4glM</t>
  </si>
  <si>
    <t>2015 09 25</t>
  </si>
  <si>
    <t>https://youtu.be/flX8HXX99nc</t>
  </si>
  <si>
    <t>Inside KSC! Sept. 25, 2015</t>
  </si>
  <si>
    <t>Inside KSC this week, stacking continues for the Crew Access Tower at SLC-41 and one of the umbilical arms for the Mobile Launcher arrives at Kennedy's Launch Equipment Test Facility.</t>
  </si>
  <si>
    <t>flX8HXX99nc</t>
  </si>
  <si>
    <t>2015 09 18</t>
  </si>
  <si>
    <t>https://youtu.be/5bkIcffhcUw</t>
  </si>
  <si>
    <t>Inside KSC! Sept. 18, 2015</t>
  </si>
  <si>
    <t>Inside KSC this week, a ceremony dedicating a beam from New York's World Trade remembers the first-responders lost in the 9-11 attacks and SpaceX reveals the interior of the Crew Dragon spacecraft designed to carry astronauts to the International Space Station.</t>
  </si>
  <si>
    <t>5bkIcffhcUw</t>
  </si>
  <si>
    <t>2015 09 16</t>
  </si>
  <si>
    <t>https://youtu.be/UjIf8zUSy-w</t>
  </si>
  <si>
    <t>Commercial Crew Access Tower Rising</t>
  </si>
  <si>
    <t>A crane places the first tier on a concrete foundation at Space Launch Complex-41 to form the Crew Access Tower under construction by Boeing and United Launch Alliance. The steel structure is being built in seven pieces that will be stacked atop each other to form the tower complete with elevator, communications and power infrastructure, and an escape system. The tower, standing about 200 feet tall, will provide astronauts and ground support teams access to Boeing's CST-100 Starliner spacecraft under development in partnership with NASA's Commercial Crew Program.</t>
  </si>
  <si>
    <t>UjIf8zUSy-w</t>
  </si>
  <si>
    <t>https://youtu.be/QgFszVWvfd0</t>
  </si>
  <si>
    <t>World Trade Center I-beam Tops 9 11 Memorial at Kennedy Space Center</t>
  </si>
  <si>
    <t>A one-ton section of solid steel I-beam salvaged from the ruins of the World Trade Center in New York City now rests atop twin concrete pedestals at Fire Station No. 1 at NASA's Kennedy Space Center in Florida. The permanent memorial was unveiled during a ceremony on the 14th anniversary of the Sept. 11, 2001 attacks, which claimed the lives of nearly 3,000 people. Of those, 343 were fire-rescue personnel.</t>
  </si>
  <si>
    <t>QgFszVWvfd0</t>
  </si>
  <si>
    <t>2015 09 11</t>
  </si>
  <si>
    <t>https://youtu.be/pAiN3VGxB1Q</t>
  </si>
  <si>
    <t>Inside KSC! Sept. 11, 2015</t>
  </si>
  <si>
    <t>Inside KSC this week, Boeing opens the Commercial Crew and Cargo Processing Facility for use as the assembly line and processing area for the CST-100 Starliner, and SpaceX releases concept art of Launch Pad 39A as it will look on launch day.</t>
  </si>
  <si>
    <t>pAiN3VGxB1Q</t>
  </si>
  <si>
    <t>https://youtu.be/5BBgZmEX3Ps</t>
  </si>
  <si>
    <t>Boeing Adds CST-100 Starliner Mural to C3PF</t>
  </si>
  <si>
    <t>Boeing recently completed a building-sized mural on the high bay of the Commercial Crew and Cargo Processing Facility at NASA's Kennedy Space Center in Florida. The company will produce, assemble and process its CST-100 Starliner inside the transformed former space shuttle hangar as it prepares to launch astronauts from Florida's Space Coast to the International Space Station in partnership with NASA's Commercial Crew Program.</t>
  </si>
  <si>
    <t>5BBgZmEX3Ps</t>
  </si>
  <si>
    <t>2015 09 04</t>
  </si>
  <si>
    <t>https://youtu.be/hh5WaiZTK0k</t>
  </si>
  <si>
    <t>Boeing Unveils Starliner Processing Facility</t>
  </si>
  <si>
    <t>Boeing revealed a new name for its CST-100 on Sept. 4, dubbing its next generation human-rated spacecraft "Starliner.” The name signals the potential for opening new paths into orbit for NASA astronauts and others. The name capped an event officially opening the renovated Commercial Crew and Cargo Processing Facility at NASA's Kennedy Space Center in Florida for use as the home of the Starliner production and assembly line.</t>
  </si>
  <si>
    <t>hh5WaiZTK0k</t>
  </si>
  <si>
    <t>https://youtu.be/68M2uKAA0v4</t>
  </si>
  <si>
    <t>Inside KSC Sept. 4, 2015</t>
  </si>
  <si>
    <t>Inside KSC this week, see the work done by wildlife researchers to release baby alligators into the Kennedy Space Center environment. Also, Boeing's modernization of a former shuttle hangar includes a mural over the front of the Commercial Crew and Cargo Processing Facility that showcases the spacecraft to be assembled inside: the CST-100.</t>
  </si>
  <si>
    <t>68M2uKAA0v4</t>
  </si>
  <si>
    <t>https://youtu.be/tCHAr5uyHV4</t>
  </si>
  <si>
    <t>Preparing For Our Journey to Mars</t>
  </si>
  <si>
    <t>Astronauts on the International Space Station and scientists on Earth are conducting critical research every day in an effort to solve the problems of sending humans to Mars in the future. By helping aerospace companies develop American-made spacecraft that can launch from Florida to the station, NASA is increasing the time space-based crews can spend on scientific research. This provides additional opportunities to researchers whose experiments could open new possibilities for discoveries to improve life on Earth, and make the Journey to Mars a success.</t>
  </si>
  <si>
    <t>tCHAr5uyHV4</t>
  </si>
  <si>
    <t>https://youtu.be/FTytXb0R0Yk</t>
  </si>
  <si>
    <t>America's Spaceport is Ready</t>
  </si>
  <si>
    <t>NASA's Kennedy Space Center is a multi-user spaceport capable of processing, launching and recovering a myriad of spacecraft and launch vehicles. Some of the iconic facilities at Kennedy have undergone extensive upgrades, including the Vehicle Assembly Building, Launch Complex 39 Pads A and B, the Neil Armstrong Operations and Checkout Facility, and Orbiter Processing Facility-3, now known as the Commercial Crew and Cargo Processing Facility, or C3PF. C3PF will be the manufacturing and processing facility for Boeing's CST-100 spacecraft. The CST-100, short for Commercial Space Transportation-100, is being developed in partnership with NASA's Commercial Crew Program to carry astronauts to and from the International Space Station.</t>
  </si>
  <si>
    <t>FTytXb0R0Yk</t>
  </si>
  <si>
    <t>2015 09 02</t>
  </si>
  <si>
    <t>https://youtu.be/kXqNx00E5qQ</t>
  </si>
  <si>
    <t>Gator Hatchlings Released Into the Wild</t>
  </si>
  <si>
    <t>Kennedy Space Center's Ecological Program conducts research on nesting American alligators and eggs each summer during the reptiles' nesting season. Because alligators are "apex predators," they eat everything in the Kennedy ecosystem and therefore environmental contaminants and other stressors can affect the animals' hatch rates and physiology. The alligators in this nest, including "Luke" and "Leia," were collected June 24 from a nest northwest of the Vehicle Assembly Building in the Merritt Island National Wildlife Refuge, which shares boundaries with Kennedy. The babies hatched in captivity between Aug. 21 and 26 and were returned to their nest Aug. 28.</t>
  </si>
  <si>
    <t>kXqNx00E5qQ</t>
  </si>
  <si>
    <t>https://youtu.be/mjcepGVKtso</t>
  </si>
  <si>
    <t>Early Career R&amp;D Team Reaches Six Month Mark</t>
  </si>
  <si>
    <t>Engineers from KSC continue their development of a head-mounted display for documentation, communication and environmental awareness. Collaborators from Abacus Technology Corporation, Florida Institute of Technology and Purple Rock Scissors round out the early career team focused on creating a new piece of hardware for improved efficiencies for ground operations technicians and beyond.</t>
  </si>
  <si>
    <t>mjcepGVKtso</t>
  </si>
  <si>
    <t>2015 08 28</t>
  </si>
  <si>
    <t>https://youtu.be/mTYFOX7pmXI</t>
  </si>
  <si>
    <t>Inside KSC! Aug. 28, 2015</t>
  </si>
  <si>
    <t>Inside KSC this week, host Josephine Pereira shares progress on the Mobile Launcher modifications and shows the moving to Denver of the Orion capsule following the EFT-1 flight test.
Written by Steven Siceloff
Produced by Frank Michaux
Edited by Frankie Martin</t>
  </si>
  <si>
    <t>mTYFOX7pmXI</t>
  </si>
  <si>
    <t>2015 08 21</t>
  </si>
  <si>
    <t>https://youtu.be/hcpdJM5s4VQ</t>
  </si>
  <si>
    <t>Inside KSC! Aug. 21, 2015</t>
  </si>
  <si>
    <t>Inside KSC this week, Orbital ATK's Cygnus pressurized cargo module arrived at Kennedy for prelaunch processing. A section of I-beam from the World Trade Center also arrived at the center recently where it will serve as a memorial to the Sept. 11, 2001, terror attacks.
Written by Steven Siceloff
Produced by Frank Michaux
Edited by Frankie Martin</t>
  </si>
  <si>
    <t>hcpdJM5s4VQ</t>
  </si>
  <si>
    <t>2015 08 14</t>
  </si>
  <si>
    <t>https://youtu.be/RvIpqI41_eU</t>
  </si>
  <si>
    <t>Researchers Demonstrate Veggie Experiment</t>
  </si>
  <si>
    <t>Following up on the milestone of astronauts eating lettuce grown in space, researchers at NASA's Kennedy Space Center in Florida demonstrated the Veg-01, or Veggie, experiment for center employees recently. The event featured lettuce grown at Kennedy in identical conditions to the plants grown inside the International Space Station.</t>
  </si>
  <si>
    <t>RvIpqI41_eU</t>
  </si>
  <si>
    <t>https://youtu.be/RKZ4zmAOI1A</t>
  </si>
  <si>
    <t>Inside KSC! Aug. 14, 2015</t>
  </si>
  <si>
    <t>Inside KSC this week, astronauts on the International Space Station taste lettuce grown with Kennedy's help, and the Emergency Response Team works with Aviation units in practice.</t>
  </si>
  <si>
    <t>RKZ4zmAOI1A</t>
  </si>
  <si>
    <t>2015 08 10</t>
  </si>
  <si>
    <t>https://youtu.be/aQ_1W7xIHvc</t>
  </si>
  <si>
    <t>Space-grown Veggies Ready to Eat</t>
  </si>
  <si>
    <t>Astronaut Kjell Lindgren cuts lettuce leaves from the Veggie plant growth system aboard the International Space Station. Lindren and crewmates Scott Kelly and Kimiya Yui enjoyed the first taste of food grown and  harvested in space.</t>
  </si>
  <si>
    <t>aQ_1W7xIHvc</t>
  </si>
  <si>
    <t>https://youtu.be/CgfJFKwvDDI</t>
  </si>
  <si>
    <t>Veggie  Lettuce Prepared for Harvest</t>
  </si>
  <si>
    <t>Astronaut Kjell Lindgren swabs "Outredgeous" red romaine lettuce leaves to clean the freshly grown produce before harvesting it from the Veggie plant growth system aboard the International Space Station.</t>
  </si>
  <si>
    <t>CgfJFKwvDDI</t>
  </si>
  <si>
    <t>https://youtu.be/CBcEtOcWkq8</t>
  </si>
  <si>
    <t>Astronauts Prepare to Eat Their Veggies</t>
  </si>
  <si>
    <t>Astronaut Kjell Lindgren opens the Veggie plant growth station aboard the International Space Station as he and his crewmates, Scott Kelly and Kimiya Yui, prepare for their first taste of produce – in this case, “Outredgeous” red romaine lettuce – grown in space.</t>
  </si>
  <si>
    <t>CBcEtOcWkq8</t>
  </si>
  <si>
    <t>https://youtu.be/D_723qwjULM</t>
  </si>
  <si>
    <t>Veggies in Space  Astronauts Sample Freshly Grown Lettuce</t>
  </si>
  <si>
    <t>That's one small bite for a man, one giant leaf for mankind: Astronauts Scott Kelly, Kjell Lindgren and Kimiya Yui of Japan sample the fruits of their labor after harvesting a crop of "Outredgeous" red romaine lettuce from the Veggie plant growth system on the International Space Station.</t>
  </si>
  <si>
    <t>D_723qwjULM</t>
  </si>
  <si>
    <t>2015 08 07</t>
  </si>
  <si>
    <t>https://youtu.be/HDW3cxexUPY</t>
  </si>
  <si>
    <t>Veggie Harvest  First Taste of History</t>
  </si>
  <si>
    <t>NASA astronauts living on the International Space Station are getting their taste buds ready for the first taste of food that's grown, harvested and eaten in space. Cultivating the ability for crews to grow their own food is a critical step on the path to Mars. Turn to NASA TV on Monday, Aug. 10 for the Veggie harvest -- and a first taste of history.</t>
  </si>
  <si>
    <t>HDW3cxexUPY</t>
  </si>
  <si>
    <t>https://youtu.be/blppA8tsBW0</t>
  </si>
  <si>
    <t>Inside KSC! August 7, 2015</t>
  </si>
  <si>
    <t>Inside KSC this week, an umbilical arm to be used on the Mobile Launcher for the Space Launch System was tested for strength. Also, engineers at Swamp Works are showing their work on flying prospectors that could help explore distant worlds and collect samples.
Written by Steven Siceloff
Produced by Frank Michaux
Edited by Mike Chambers</t>
  </si>
  <si>
    <t>blppA8tsBW0</t>
  </si>
  <si>
    <t>2015 08 04</t>
  </si>
  <si>
    <t>https://youtu.be/10XHrKlQJ0g</t>
  </si>
  <si>
    <t>Launch Pad 39C Ready for Small Class Rockets at Kennedy Space Center</t>
  </si>
  <si>
    <t>Kennedy Space Center's new Launch Pad 39C will provide access for small class vehicle rocket launches. Computer-aided imagery illustrates how a company's rocket could be integrated with its launch platform inside the Vehicle Assembly Building or at the pad before testing and launch. For more information on Kennedy partnerships, visit http://kscpartnerships.ksc.nasa.gov/.</t>
  </si>
  <si>
    <t>10XHrKlQJ0g</t>
  </si>
  <si>
    <t>2015 08 03</t>
  </si>
  <si>
    <t>https://youtu.be/LPhCiflVZXs</t>
  </si>
  <si>
    <t>Emergency Response Training Focuses on Technology, Innovation</t>
  </si>
  <si>
    <t>NASA and contractor experts periodically team up to ensure they are ready to counter any threat to the Kennedy Space Center. In this video, the agency's Aircraft Operations pilots at the Florida spaceport work with the Kennedy Protective Services Contract Emergency Response Team in an extensive, regularly scheduled training exercise.</t>
  </si>
  <si>
    <t>LPhCiflVZXs</t>
  </si>
  <si>
    <t>2015 07 31</t>
  </si>
  <si>
    <t>https://youtu.be/2ASKYNyF15k</t>
  </si>
  <si>
    <t>Inside KSC! July 31, 2015</t>
  </si>
  <si>
    <t>Inside KSC this week, see the International Docking Adapter-2 in testing and marvel at the discoveries made by the Kepler observatory, which was launched by the Launch Services Program in March 2009.
Written by Steven Siceloff
Produced by Frank Michaux
Edited by Frankie Martin</t>
  </si>
  <si>
    <t>2ASKYNyF15k</t>
  </si>
  <si>
    <t>2015 07 30</t>
  </si>
  <si>
    <t>https://youtu.be/CYjfI7ffF6w</t>
  </si>
  <si>
    <t>Asteroid Prospector Flyer Test (Loud)</t>
  </si>
  <si>
    <t>A prototype Asteroid Prospector Flyer is put into a tumble at the Swamp Works Lab before correcting and stabilizing itself using tiny jets. The prototype is in development as part of the Extreme Access Flyer effort.</t>
  </si>
  <si>
    <t>CYjfI7ffF6w</t>
  </si>
  <si>
    <t>2015 07 28</t>
  </si>
  <si>
    <t>https://youtu.be/OET3e3XTfeg</t>
  </si>
  <si>
    <t>Kennedy Space Center 2015 Honor Awards</t>
  </si>
  <si>
    <t>Kennedy Space Center employees share their thoughts on working for NASA and being recognized for their efforts in this video opening the 2015 Honor Awards.
Produced by Frank Michaux, Michael Justice
Edited by Chris Chamberland</t>
  </si>
  <si>
    <t>OET3e3XTfeg</t>
  </si>
  <si>
    <t>2015 07 24</t>
  </si>
  <si>
    <t>https://youtu.be/LGgyO6LhAe8</t>
  </si>
  <si>
    <t>Inside KSC! July 24, 2015, with Dava Newman</t>
  </si>
  <si>
    <t>Inside KSC! this week, the center cuts the ribbon on Launch Pad 39C small-class launchers and we take a look at the photo of Earth shot by the Kennedy-launched DSCOVR spacecraft from a million miles away.</t>
  </si>
  <si>
    <t>LGgyO6LhAe8</t>
  </si>
  <si>
    <t>2015 07 17</t>
  </si>
  <si>
    <t>https://youtu.be/ysH86oXWyAs</t>
  </si>
  <si>
    <t>Kennedy Completes Pad C for Small Class Launchers</t>
  </si>
  <si>
    <t>NASA marked the completion of the new Small Class Vehicle Launch Pad, designated Pad 39C, with a ribbon cutting ceremony on July 17 at Kennedy Space Center in Florida.</t>
  </si>
  <si>
    <t>ysH86oXWyAs</t>
  </si>
  <si>
    <t>2015 07 16</t>
  </si>
  <si>
    <t>https://youtu.be/q_WlqPcxa8M</t>
  </si>
  <si>
    <t>Inside KSC! July 17, 2015 with Ian Ziering</t>
  </si>
  <si>
    <t>Fins up everyone! Sharknado's Ian Ziering guest-hosts this week's Inside KSC! NASA named four astronauts to work closely with Commercial Crew companies for upcoming flight tests and the Kennedy-launched New Horizons spacecraft made history as it returned close-up photos of Pluto from the edge of the solar system!
Written by Steven Siceloff
Produced by Frank Michaux
Edited by Chris Chamberland</t>
  </si>
  <si>
    <t>q_WlqPcxa8M</t>
  </si>
  <si>
    <t>https://youtu.be/cBCB-I5HMPE</t>
  </si>
  <si>
    <t>LSP  Planning Today for Launch Tomorrow</t>
  </si>
  <si>
    <t>Find out some of the hard work and deep thought that goes into planning a NASA mission for launch. Launch Services Program engineers and officials begin work years before a launch to coordinate everything needed for safe flight.</t>
  </si>
  <si>
    <t>cBCB-I5HMPE</t>
  </si>
  <si>
    <t>2015 07 10</t>
  </si>
  <si>
    <t>https://youtu.be/-49ssHebxyw</t>
  </si>
  <si>
    <t>Inside KSC! July 10, 2015</t>
  </si>
  <si>
    <t>Inside KSC this week recalls the contributions of space shuttle crews of STS-51L and STS-107 with a closer look at the new "Forever Remembered" exhibit at Kennedy. The exhibit includes pieces from Challenger and Columbia on public display for the first time.
Written by Steven Siceloff
Produced by Frank Michaux</t>
  </si>
  <si>
    <t>-49ssHebxyw</t>
  </si>
  <si>
    <t>2015 07 09</t>
  </si>
  <si>
    <t>https://youtu.be/6KTnohSNCsI</t>
  </si>
  <si>
    <t>NASA Selects Bob Behnken for Commercial Crew</t>
  </si>
  <si>
    <t>Bob Behnken is one of four astronauts selected by NASA for Commercial Crew. Behnken, Eric Boe, Doug Hurley and Suni Williams have been selected to be the first astronauts to train for test flights to the International Space Station on Boeing’s CST-100 and SpaceX’s Crew Dragon. Behnken, a colonel in the Air Force, is from St. Ann, Missouri, and flew twice on space shuttles. His 29 days in space include 37 hours conducting six spacewalks. He served as chief astronaut from 2012 to 2015.  His shuttle missions were STS-123 and STS-130.</t>
  </si>
  <si>
    <t>6KTnohSNCsI</t>
  </si>
  <si>
    <t>https://youtu.be/GUr5jNa5Mmc</t>
  </si>
  <si>
    <t>NASA Selects Eric Boe for Commercial Crew</t>
  </si>
  <si>
    <t>Eric Boe is one of four astronauts selected by NASA for Commercial Crew. Bob Behnken, Boe, Doug Hurley and Suni Williams have been selected to be the first astronauts to train for test flights to the International Space Station on Boeing’s CST-100 and SpaceX’s Crew Dragon. Boe, a colonel in the Air Force, was born in Miami and grew up in Atlanta. He served as pilot on two space shuttle missions, accumulating more than 28 days in space. He has served in high management roles for NASA's Astronaut Office and at the Gagarin Cosmonaut Training Center in Star City, Russia. His shuttle missions were STS-126 and STS-133.</t>
  </si>
  <si>
    <t>GUr5jNa5Mmc</t>
  </si>
  <si>
    <t>https://youtu.be/S4Hn5ags6ho</t>
  </si>
  <si>
    <t>NASA Selects Doug Hurley for Commercial Crew</t>
  </si>
  <si>
    <t>Doug Hurley is one of four astronauts selected by NASA for Commercial Crew. Bob Behnken, Eric Boe, Hurley and Suni Williams have been selected to be the first astronauts to train for test flights to the International Space Station on Boeing’s CST-100 and SpaceX’s Crew Dragon. Hurley, a retired Marine Corps colonel, was born in Endicott, New York, but considers Apalachin his hometown. He flew two space shuttle missions as pilot, including as part of the crew of STS-135, the final shuttle mission. He has spent more than 28 days in space. Hurley served in several technical assignments within the Astronaut Office including as the NASA director of operations at the Gagarin Cosmonaut Training Center in Star City, Russia. His shuttle missions were STS-127 and STS-135.</t>
  </si>
  <si>
    <t>S4Hn5ags6ho</t>
  </si>
  <si>
    <t>https://youtu.be/NOLY3qdW7Tc</t>
  </si>
  <si>
    <t>NASA Selects Suni Williams for Commercial Crew</t>
  </si>
  <si>
    <t>Sunita "Suni" Williams is one of four astronauts selected by NASA for Commercial Crew. Bob Behnken, Eric Boe, Doug Hurley and Williams have been selected to be the first astronauts to train for test flights to the International Space Station on Boeing’s CST-100 and SpaceX’s Crew Dragon. Williams, a U.S. Navy captain, was born in Euclid, Ohio, and considers Needham, Massachusetts, her hometown. She flew two long-duration missions on the International Space Station and has flown in space shuttles and Russian Soyuz spacecraft during her career. She set a record for American female astronauts when she completed more than 50 hours of spacewalks. Her missions were Expedition 14/15, which she flew aboard STS-116 and STS-117, and Expedition 32/33, which she flew to and returned to Earth aboard Russian Soyuz spacecraft.</t>
  </si>
  <si>
    <t>NOLY3qdW7Tc</t>
  </si>
  <si>
    <t>2015 06 28</t>
  </si>
  <si>
    <t>https://youtu.be/efjf37ZPYz4</t>
  </si>
  <si>
    <t>SpaceX CRS-7 Liftoff</t>
  </si>
  <si>
    <t>The SpaceX CRS-7 Falcon 9 rocket lifts off from Space Launch Complex 40 at Cape Canaveral Air Force Station carrying a Dragon spacecraft on the seventh commercial resupply services mission to the International Space Station. Liftoff was at 10:21 a.m. EST. After liftoff, an anomaly occurred.</t>
  </si>
  <si>
    <t>efjf37ZPYz4</t>
  </si>
  <si>
    <t>https://youtu.be/vDKa4ut2kCs</t>
  </si>
  <si>
    <t>SpaceX CRS-7 Falcon 9 Ready for Launch</t>
  </si>
  <si>
    <t>In the Launch Control Center at Cape Canaveral Air Force Station, NASA and contractor managers and engineers monitor progress in the countdown to launch a SpaceX Falcon 9 rocket. The launch vehicle will boost a Dragon capsule on a commercial resupply mission delivering cargo to the International Space Station.</t>
  </si>
  <si>
    <t>vDKa4ut2kCs</t>
  </si>
  <si>
    <t>https://youtu.be/sWU0R7ChCBY</t>
  </si>
  <si>
    <t>SpaceX CRS-7 Countdown Underway</t>
  </si>
  <si>
    <t>sWU0R7ChCBY</t>
  </si>
  <si>
    <t>2015 06 27</t>
  </si>
  <si>
    <t>https://youtu.be/h62PXxGEtpE</t>
  </si>
  <si>
    <t>'Forever Remembered' - Families Discuss Memorial</t>
  </si>
  <si>
    <t>The families of the crews of Challenger's STS-51L and Columbia's STS-107 missions discuss the meaning of the 'Forever Remembered' memorial. The speakers are, in order of appearance, Evelyn Husband Thompson, wife of Columbia Commander Rick Husband; Lynne Salton, sister of Columbia astronaut Laurel Clark;  June Scobee Rodgers, wife of Challenger Commander Dick Scobee; and Cheryl McNair, wife of Challenger astronaut Ron McNair.</t>
  </si>
  <si>
    <t>h62PXxGEtpE</t>
  </si>
  <si>
    <t>https://youtu.be/my-D9yvBmbg</t>
  </si>
  <si>
    <t>'Forever Remembered' - Challenger and Columbia</t>
  </si>
  <si>
    <t>The 'Forever Remembered' memorial includes recovered hardware from both Challenger and Columbia.</t>
  </si>
  <si>
    <t>my-D9yvBmbg</t>
  </si>
  <si>
    <t>https://youtu.be/ihF8PES8O20</t>
  </si>
  <si>
    <t>'Forever Remembered' Memorial at Kennedy Space Center</t>
  </si>
  <si>
    <t>NASA and the astronauts’ families have collaborated to create a new, permanent memorial designed to honor the crews of Challenger's STS-51L and Columbia's STS-107 missions, pay tribute to the spacecraft and emphasize the importance of learning from the past. “Forever Remembered” opened June 27, 2015, at the Kennedy Space Center Visitor Complex in Florida, where it tells the story of NASA's 30-year Space Shuttle Program throughout the Space Shuttle Atlantis exhibit.</t>
  </si>
  <si>
    <t>ihF8PES8O20</t>
  </si>
  <si>
    <t>https://youtu.be/WJ4joZSPNtg</t>
  </si>
  <si>
    <t>Opening of 'Forever Remembered' Memorial</t>
  </si>
  <si>
    <t>Kennedy Space Center Director Robert Cabana and NASA Administrator Charles Bolden officially opened the “Forever Remembered” public exhibit June 27, 2015, at the Kennedy Space Center Visitor Complex in Florida.
NASA and astronaut families collaborated on the memorial designed to honor the crews lost on missions STS-51L and STS-107, pay tribute to shuttles Challenger and Columbia, and emphasize the importance of learning from the past. Challenger and Columbia astronaut family members attended the opening ceremony.
Encompassing nearly 2,000 square feet, the memorial contains the largest collection of personal items of both flight crews. It also includes recovered hardware from both Challenger and Columbia, never before displayed for the public.</t>
  </si>
  <si>
    <t>WJ4joZSPNtg</t>
  </si>
  <si>
    <t>2015 06 26</t>
  </si>
  <si>
    <t>https://youtu.be/ymbByvEeBeQ</t>
  </si>
  <si>
    <t>Inside KSC! June 26, 2015</t>
  </si>
  <si>
    <t>Inside KSC this week, researchers at Kennedy prep seeds for the launch of the Veg-03 payload to the International Space Station aboard CRS-7. Also, Kennedy and Space Florida signed an agreement to allow Space Florida to operate the Shuttle Landing Facility.</t>
  </si>
  <si>
    <t>ymbByvEeBeQ</t>
  </si>
  <si>
    <t>2015 06 25</t>
  </si>
  <si>
    <t>https://youtu.be/ehnh99dLxVg</t>
  </si>
  <si>
    <t>New Crew Access Tower Takes Shape at Cape</t>
  </si>
  <si>
    <t>The metal segments that will be stacked to form a complete crew access tower later this year are taking shape a few miles from Space Launch Complex 41 at Cape Canaveral Air Force Station in Florida. The work by Boeing and United Launch Alliance is critical in readying the launch site for a crew flight test to certify their systems in 2017 for operational missions to the International Space Station for NASA’s Commercial Crew Program.</t>
  </si>
  <si>
    <t>ehnh99dLxVg</t>
  </si>
  <si>
    <t>2015 06 23</t>
  </si>
  <si>
    <t>https://youtu.be/x7IHtDLDEIE</t>
  </si>
  <si>
    <t>Time-Lapse  Construction Begins on Kennedy Central Campus</t>
  </si>
  <si>
    <t>This time-lapse video captures approximately six months of work to kick off the construction of NASA Kennedy Space Center's modern, seven-story headquarters building, which will anchor the spaceport's new Central Campus.</t>
  </si>
  <si>
    <t>x7IHtDLDEIE</t>
  </si>
  <si>
    <t>2015 06 19</t>
  </si>
  <si>
    <t>https://youtu.be/B-5CffGXFlo</t>
  </si>
  <si>
    <t>Inside KSC - Tribute to Jack King</t>
  </si>
  <si>
    <t>Inside KSC this week honors the legacy of Jack King, the "voice of Apollo" who served as the Kennedy's chief of Public Information during NASA's first three manned space programs, Mercury, Gemini and Apollo. Read more details about Jack King at http://go.nasa.gov/1B9yZzW
Written by Steven Siceloff
Produced by Frank Michaux
Edited by Frank Martin</t>
  </si>
  <si>
    <t>B-5CffGXFlo</t>
  </si>
  <si>
    <t>2015 06 18</t>
  </si>
  <si>
    <t>https://youtu.be/aUMXCZVmL0Q</t>
  </si>
  <si>
    <t>MRAP Rolls Through Commercial Crew Testing</t>
  </si>
  <si>
    <t>Engineers timed an MRAP armored vehicle on potential emergency routes at Space Launch Complex 41 at Cape Canaveral Air Force Station to determine how much time to allocate in their contingency plans for launches coming up in 2017. The research by Boeing, NASA's Commercial Crew Program, United Launch Alliance and Special Aerospace Service is in preparation for future flights of the CST-100 that will carry astronauts to the International Space Station.</t>
  </si>
  <si>
    <t>aUMXCZVmL0Q</t>
  </si>
  <si>
    <t>2015 06 12</t>
  </si>
  <si>
    <t>https://youtu.be/kImDl0IafSI</t>
  </si>
  <si>
    <t>Human Space Exploration in the 21st Century</t>
  </si>
  <si>
    <t>America’s human space exploration goals for the 21st Century include destinations both in low-Earth orbit to the International Space Station and deep space missions to an asteroid and even to Mars. Different exploration destinations require different systems. One that NASA owns and operates -- the Orion spacecraft that will launch atop the Space Launch System. And two commercially owned and operated systems that will give astronauts safe, reliable and cost-effective access to and from the International Space Station, where cutting edge research and technology developments are increasing our knowledge about what it takes to live and work for long periods of time in space.</t>
  </si>
  <si>
    <t>kImDl0IafSI</t>
  </si>
  <si>
    <t>https://youtu.be/LNI9Lc_E7ak</t>
  </si>
  <si>
    <t>Inside KSC! June 12, 2015</t>
  </si>
  <si>
    <t>Inside KSC! this week, see the changes taking place at Kennedy in the Vehicle Assembly Building where a refurbished overhead crane was returned to its place and at LC-39B where a small launcher pad is being built. All this with special host Bob Cabana, director of Kennedy.
Written by Steven Siceloff
Produced by Frank Michaux
Edited by Frank Martin</t>
  </si>
  <si>
    <t>LNI9Lc_E7ak</t>
  </si>
  <si>
    <t>https://youtu.be/o4OBKOlgmfo</t>
  </si>
  <si>
    <t>Jack King's Apollo 11 Launch Commentary</t>
  </si>
  <si>
    <t>Long-time NASA Public Affairs Officer Jack King announces the historic launch of Apollo 11 from NASA's Kennedy Space Center in Florida on July 16, 1969.</t>
  </si>
  <si>
    <t>o4OBKOlgmfo</t>
  </si>
  <si>
    <t>2015 06 05</t>
  </si>
  <si>
    <t>https://youtu.be/5gLfrTCk8XU</t>
  </si>
  <si>
    <t>NASA's Robotic Mining Competition Wraps Up at Kennedy Space Center</t>
  </si>
  <si>
    <t>More than 40 college and university teams from around the U.S. used their custom-made, remote-controlled mining robots to dig in a giant arena filled with simulated Martian dirt and ice rocks at NASA's Kennedy Space Center Visitor Complex in Florida..</t>
  </si>
  <si>
    <t>5gLfrTCk8XU</t>
  </si>
  <si>
    <t>https://youtu.be/c3OUi8uuRKs</t>
  </si>
  <si>
    <t>Inside KSC! June 5, 2015</t>
  </si>
  <si>
    <t>Inside KSC this week, see four astronauts inducted into the Hall of Fame. Kennedy also finished modifications to the MPPF to ready it for Orion servicing.
Written by Steven Siceloff
Produced by Frank Michaux
Edited by Michael Chambers</t>
  </si>
  <si>
    <t>c3OUi8uuRKs</t>
  </si>
  <si>
    <t>2015 06 03</t>
  </si>
  <si>
    <t>https://youtu.be/9CBU_wzHWWI</t>
  </si>
  <si>
    <t>Dhani Jones  50 Years of NASA Spacewalks and #JourneyToMars</t>
  </si>
  <si>
    <t>Adventurer, athlete and television host Dhani Jones visited Kennedy Space Center recently to learn more about NASA’s #JourneyToMars. Jones explains the importance of extra-vehicular activities, and the valuable lessons NASA has learned in fifty years of spacewalking that are paving the way for future missions.</t>
  </si>
  <si>
    <t>9CBU_wzHWWI</t>
  </si>
  <si>
    <t>2015 06 01</t>
  </si>
  <si>
    <t>https://youtu.be/ArkuFW-2JR4</t>
  </si>
  <si>
    <t>DART Air Data has Interplanetary Potential</t>
  </si>
  <si>
    <t>When NASA prepares a spacecraft to fly to a faraway planet to hunt for signs of life, it's important not to inadvertently send microorganisms from Earth along on the journey. The Dust Atmospheric Recovery Technology, or DART, is a new innovation designed to collect airborne dusts, bacteria and fungi in the atmosphere that can be returned to the lab for analysis. The results will make it easier to predict levels of dust and microbial contamination on spacecraft surfaces during payload processing and when the spacecraft are on launch pads. This knowledge also could help bolster Florida’s agriculture industry against exotic, airborne pathogens.</t>
  </si>
  <si>
    <t>ArkuFW-2JR4</t>
  </si>
  <si>
    <t>2015 05 28</t>
  </si>
  <si>
    <t>https://youtu.be/V0cozFTLmb4</t>
  </si>
  <si>
    <t>LSP Earth's Bridge to Space</t>
  </si>
  <si>
    <t>NASA's Launch Services Program launches probes, satellites and missions into orbit using some of the most advanced rockets in existence.</t>
  </si>
  <si>
    <t>V0cozFTLmb4</t>
  </si>
  <si>
    <t>https://youtu.be/KczNvC82Z9A</t>
  </si>
  <si>
    <t>Inside KSC! May 29, 2015</t>
  </si>
  <si>
    <t>Inside KSC this week, find out about the reorganization of the space center's work force to better suit the needs of customers. Also, the Robotic Mining Competition named the winner of the unique engineering contest.
Written by Steven Siceloff
Produced by Frank Michaux
Edited by Chris Chamberland</t>
  </si>
  <si>
    <t>KczNvC82Z9A</t>
  </si>
  <si>
    <t>2015 05 22</t>
  </si>
  <si>
    <t>https://youtu.be/yxYoo62Vq6M</t>
  </si>
  <si>
    <t>Inside KSC! May 22, 2015</t>
  </si>
  <si>
    <t>Inside KSC this week, teams began competing in the annual Robotics Mining Competition at Kennedy where their creations are tested in realistic soil conditions. The new central campus building construction is underway with test piles being driven into the ground.
Written by Steven Siceloff
Produced by Frank Michaux
Edited by Amber Watson</t>
  </si>
  <si>
    <t>yxYoo62Vq6M</t>
  </si>
  <si>
    <t>2015 05 19</t>
  </si>
  <si>
    <t>https://youtu.be/O3Lj_ubfO5w</t>
  </si>
  <si>
    <t>2015 Robotics Mining Competition - Day 1</t>
  </si>
  <si>
    <t>Teams of undergraduate and graduate students from around the country are demonstrating their excavator robots May 18-22 at the Kennedy Space Center Visitor Complex in Florida. During the Robotics Mining Competition, participating teams' custom-built, remote-controlled mining robots will traverse simulated Martian terrain features and excavate simulated regolith.</t>
  </si>
  <si>
    <t>O3Lj_ubfO5w</t>
  </si>
  <si>
    <t>2015 05 15</t>
  </si>
  <si>
    <t>https://youtu.be/0Z_SlfPgCvw</t>
  </si>
  <si>
    <t>Inside KSC! May 15, 2015</t>
  </si>
  <si>
    <t>Inside KSC this week, the second new work platform for the VAB is delivered as the structure is retooled for support the Space Launch System rocket for the journey to Mars, and NASA's Launch Services Program seeks a CubeSat launcher.</t>
  </si>
  <si>
    <t>0Z_SlfPgCvw</t>
  </si>
  <si>
    <t>2015 05 08</t>
  </si>
  <si>
    <t>https://youtu.be/0DMTjfHyGxU</t>
  </si>
  <si>
    <t>Inside KSC! May 8, 2015</t>
  </si>
  <si>
    <t>On Inside KSC! this week, relive the Pad Abort Test by SpaceX's Crew Dragon and find out about a land use draft announcement for proposals.
Written by Steven Siceloff
Produced by Aaron Peshek
Edited by Mike Chambers</t>
  </si>
  <si>
    <t>0DMTjfHyGxU</t>
  </si>
  <si>
    <t>2015 05 06</t>
  </si>
  <si>
    <t>https://youtu.be/dsg6WR4BWhw</t>
  </si>
  <si>
    <t>SpaceX Crew Dragon Conducts Unique Flight Test</t>
  </si>
  <si>
    <t>A loud whoosh, faint smoke trail and billowing parachutes marked a successful demonstration Wednesday by SpaceX of its Crew Dragon spacecraft abort system – an important step in NASA’s endeavor to launch crews to the International Space Station from U.S. soil.</t>
  </si>
  <si>
    <t>dsg6WR4BWhw</t>
  </si>
  <si>
    <t>https://youtu.be/d19WEJqt008</t>
  </si>
  <si>
    <t>SpaceX Pad Abort Go No Go Poll</t>
  </si>
  <si>
    <t>Controllers give the "go" to proceed with the SpaceX Crew Dragon Pad Abort Test from Cape Canaveral Air Force Station in Florida.</t>
  </si>
  <si>
    <t>d19WEJqt008</t>
  </si>
  <si>
    <t>https://youtu.be/_ayXPlsQf6M</t>
  </si>
  <si>
    <t>SpaceX Pad Abort Test Coverage Begins</t>
  </si>
  <si>
    <t>NASA Commentator Mike Curie kicks off televised coverage of the SpaceX Crew Dragon Pad Abort Test from Cape Canaveral Air Force Station in Florida.</t>
  </si>
  <si>
    <t>_ayXPlsQf6M</t>
  </si>
  <si>
    <t>https://youtu.be/FRqLNdwsPBM</t>
  </si>
  <si>
    <t>SpaceX Crew Dragon Flies in Pad Abort Test</t>
  </si>
  <si>
    <t>Powered by its SuperDraco engines, the uncrewed SpaceX Crew Dragon flies through its paces in the Pad Abort Test from Cape Canaveral Air Force Station in Florida.</t>
  </si>
  <si>
    <t>FRqLNdwsPBM</t>
  </si>
  <si>
    <t>2015 04 30</t>
  </si>
  <si>
    <t>https://youtu.be/PFgOXMrm2mQ</t>
  </si>
  <si>
    <t>Inside KSC! May 1, 2015</t>
  </si>
  <si>
    <t>Inside KSC this week, center director and shuttle commander Bob Cabana received the National Space Trophy, the ground test article for Orion heat shield is shipped to Denver and NASA unveils its new Web site redesign.
Written by Steven Siceloff
Produced by Frank Michaux
Edited by Chris Chamberland</t>
  </si>
  <si>
    <t>PFgOXMrm2mQ</t>
  </si>
  <si>
    <t>2015 04 29</t>
  </si>
  <si>
    <t>https://youtu.be/SjX3Q5GUmrs</t>
  </si>
  <si>
    <t>¡Buscamos estudiantes a los que les entusiasmen los robots! (Wanted  Student robot enthusiasts)</t>
  </si>
  <si>
    <t>¿Eres un estudiante al que le interesaría trabajar con robots? ¡Echa un vistazo a esto! La Competición de Minería Robótica de la NASA se celebrará del 20 al 22 de mayo de 2015 en el Complejo de Visitantes del Centro Espacial Kennedy de la NASA. Para más información: http://www.nasa.gov/offices/education/centers/kennedy/technology/nasarmc.html (Are you a student interested in someday working with robots? Check this out! NASA's Robotic Mining Competition is May 20-22, 2015, at the Kennedy Space Center Visitor Complex
For more information, go to http://www.nasa.gov/offices/education/centers/kennedy/technology/nasarmc.html</t>
  </si>
  <si>
    <t>SjX3Q5GUmrs</t>
  </si>
  <si>
    <t>2015 04 23</t>
  </si>
  <si>
    <t>https://youtu.be/12We_GFYtFg</t>
  </si>
  <si>
    <t>Inside KSC! April 24, 2015</t>
  </si>
  <si>
    <t>Inside KSC this week, see where locomotives from Kennedy are heading now and find out who at Kennedy received the distinguished Debus Award.</t>
  </si>
  <si>
    <t>12We_GFYtFg</t>
  </si>
  <si>
    <t>2015 04 21</t>
  </si>
  <si>
    <t>https://youtu.be/2ca874kxzak</t>
  </si>
  <si>
    <t>An Interview with Bob Richards, Moon Express Inc. founder and CEO</t>
  </si>
  <si>
    <t>Bob Richards talks about Moon Express Inc. and the partnership with Kennedy Space Center to flight test its lunar lander vehicle. For more information, visit http://kscpartnerships.ksc.nasa.gov.</t>
  </si>
  <si>
    <t>2ca874kxzak</t>
  </si>
  <si>
    <t>2015 04 17</t>
  </si>
  <si>
    <t>https://youtu.be/Qm03NizaKKs</t>
  </si>
  <si>
    <t>Inside KSC! April 17, 2015</t>
  </si>
  <si>
    <t>This week's episode recaps the launch Tuesday of CRS-6 on a SpaceX Falcon 9 from Kennedy and highlights the arrival of the first VAB platform segment that will be used for SLS processing.
Written by Steven Siceloff
Produced by Frank Michaux
Edited by Chris Chambeland</t>
  </si>
  <si>
    <t>Qm03NizaKKs</t>
  </si>
  <si>
    <t>2015 04 14</t>
  </si>
  <si>
    <t>https://youtu.be/6UUoeU8TzsE</t>
  </si>
  <si>
    <t>SpaceX CRS-6 Dragon Spacecraft Separation</t>
  </si>
  <si>
    <t>The SpaceX CRS-6 Dragon spacecraft separated from the SpaceX rocket as it continues on the sixth Commercial Resupply Services mission to the International Space Station. Liftoff took place at Cape Canaveral Air Force Station's Space Launch Complex 40 at 4:10 p.m. EST.</t>
  </si>
  <si>
    <t>6UUoeU8TzsE</t>
  </si>
  <si>
    <t>https://youtu.be/0uVGH5_DFxg</t>
  </si>
  <si>
    <t>Liftoff of SpaceX CRS-6</t>
  </si>
  <si>
    <t>The SpaceX CRS-6 Falcon 9 rocket lifts off from Space Launch Complex 40 at Cape Canaveral Air Force Station carrying a Dragon spacecraft on the sixth commercial resupply services mission to the International Space Station. Liftoff was at 4:10 p.m. EST.</t>
  </si>
  <si>
    <t>0uVGH5_DFxg</t>
  </si>
  <si>
    <t>https://youtu.be/JIi4JPEpPYA</t>
  </si>
  <si>
    <t>Falcon 9 Ready for Launch SpaceX CRS-6</t>
  </si>
  <si>
    <t>JIi4JPEpPYA</t>
  </si>
  <si>
    <t>https://youtu.be/uGdf7rh9kms</t>
  </si>
  <si>
    <t>Countdown Underway for SpaceX CRS-6</t>
  </si>
  <si>
    <t>At Cape Canaveral Air Force Station's Space Launch Complex 40, a SpaceX Falcon 9 rocket stands ready to boost a Dragon spacecraft on its sixth commercial resupply services mission to deliver supplies to the International Space Station.</t>
  </si>
  <si>
    <t>uGdf7rh9kms</t>
  </si>
  <si>
    <t>https://youtu.be/-kQHpRzIsdk</t>
  </si>
  <si>
    <t>CST-100 Design Tested in Langley Wind Tunnel</t>
  </si>
  <si>
    <t>Boeing's CST-100 spacecraft design underwent wind tunnel testing at NASA's Langley Research Center in Hampton, Virginia, as the company continues to refine and evaluate the spacecraft, which is being prepared for upcoming flight tests and ultimately missions to carry astronauts to the International Space Station.</t>
  </si>
  <si>
    <t>-kQHpRzIsdk</t>
  </si>
  <si>
    <t>2015 04 13</t>
  </si>
  <si>
    <t>https://youtu.be/u0jJ0MiP1RA</t>
  </si>
  <si>
    <t>Inside KSC! April 10, 2015</t>
  </si>
  <si>
    <t>Inside KSC this week, testing is under way on equipment that will be used to support the Space Launch System rocket as it stands and launches from the Mobile Launcher. Also, the Orion management team visited Kennedy this week to detail the results of the highly successful flight test in December.
Written by Steven Siceloff
Produced by Frank Michaux
Edited by Chris Chamberland</t>
  </si>
  <si>
    <t>u0jJ0MiP1RA</t>
  </si>
  <si>
    <t>2015 04 03</t>
  </si>
  <si>
    <t>https://youtu.be/hjL6lg0Ydvg</t>
  </si>
  <si>
    <t>Inside KSC! April 3, 2015</t>
  </si>
  <si>
    <t>Inside KSC this week, the launch of the CRS-6 mission to carry cargo to the International Space Station is coming up and the crawler-transporter receives heavy duty modifications for the weight of the SLS.</t>
  </si>
  <si>
    <t>hjL6lg0Ydvg</t>
  </si>
  <si>
    <t>2015 04 01</t>
  </si>
  <si>
    <t>https://youtu.be/jd80Yu_DAYg</t>
  </si>
  <si>
    <t>25 Years Started Here  Kennedy and the Launch of the Hubble</t>
  </si>
  <si>
    <t>Kennedy's role in the Hubble Space Telescope story was to process that school bus-size observatory before launching it into orbit. Kennedy also hosted five servicing crews that lifted off to repair and maintain the one-of-a-kind device.
Written by Steven Siceloff
Produced by Aaron Peshek
Edited by Chris Chamberland</t>
  </si>
  <si>
    <t>jd80Yu_DAYg</t>
  </si>
  <si>
    <t>2015 03 31</t>
  </si>
  <si>
    <t>https://youtu.be/dxUD6B2jKE0</t>
  </si>
  <si>
    <t>AstroViews  Mike Fincke</t>
  </si>
  <si>
    <t>Former International Space Station commander and space shuttle astronaut Mike Fincke shares the inspiration and excitement building as NASA's Commercial Crew Program works with aerospace industry to launch astronauts again from Florida's Space Coast.</t>
  </si>
  <si>
    <t>dxUD6B2jKE0</t>
  </si>
  <si>
    <t>2015 03 27</t>
  </si>
  <si>
    <t>https://youtu.be/y3L4eW3W9R8</t>
  </si>
  <si>
    <t>Inside KSC! March 27, 2015</t>
  </si>
  <si>
    <t>This week in Inside KSC, we show modifications to the crawler-transporter and mark recent discoveries by the Kennedy-launched Hubble Space Telescope.</t>
  </si>
  <si>
    <t>y3L4eW3W9R8</t>
  </si>
  <si>
    <t>2015 03 20</t>
  </si>
  <si>
    <t>https://youtu.be/jSCNWASzkvw</t>
  </si>
  <si>
    <t>Inside KSC! March 20, 2015</t>
  </si>
  <si>
    <t>On Inside KSC! this week, we look at the launch of the MMS mission and the arrival at Ceres of the Dawn spacecraft which launched from Kennedy in 2007.</t>
  </si>
  <si>
    <t>jSCNWASzkvw</t>
  </si>
  <si>
    <t>https://youtu.be/kjSD6DWk0OM</t>
  </si>
  <si>
    <t>Swarmies Work Through Field Tests</t>
  </si>
  <si>
    <t>The four-wheeled robots known as Swarmies have been in field testing at Kennedy to evaluate the potential of biologically inspired searching methods like those used by ants. The work could be used in future robotic explorers on Mars or other worlds.
Written by Steven Siceloff
Produced by Aaron Peshek
Edited by Mike Chambers</t>
  </si>
  <si>
    <t>kjSD6DWk0OM</t>
  </si>
  <si>
    <t>2015 03 19</t>
  </si>
  <si>
    <t>https://youtu.be/etn8xzF3iz0</t>
  </si>
  <si>
    <t>Partner With Kennedy Space Center</t>
  </si>
  <si>
    <t>For more details about partnership opportunities with Kennedy Space Center, go to http://kscpartnerships.ksc.nasa.gov</t>
  </si>
  <si>
    <t>etn8xzF3iz0</t>
  </si>
  <si>
    <t>2015 03 16</t>
  </si>
  <si>
    <t>https://youtu.be/cS7j2Go5Tw8</t>
  </si>
  <si>
    <t>Interview with NASA's MMS Launch Director</t>
  </si>
  <si>
    <t>Following the successful liftoff of an Atlas V rocket and deployment of the four Magnetospheric Multiscale, or MMS, spacecraft, NASA Launch Director Omar Baez speaks with George Diller of NASA Communications.</t>
  </si>
  <si>
    <t>cS7j2Go5Tw8</t>
  </si>
  <si>
    <t>2015 03 13</t>
  </si>
  <si>
    <t>https://youtu.be/30MypTraV8c</t>
  </si>
  <si>
    <t>MMS Spacecraft Separates from Centaur</t>
  </si>
  <si>
    <t>A camera on the Centaur upper stage shows one of four Magnetospheric Multiscale, or MMS, spacecraft as it separates and is deployed into orbit. Liftoff took place from Cape Canaveral Air Force Station's Space Launch Complex 41 at 10:44 p.m. EST.</t>
  </si>
  <si>
    <t>30MypTraV8c</t>
  </si>
  <si>
    <t>https://youtu.be/M5feIiW0WGU</t>
  </si>
  <si>
    <t>Inside KSC! March. 13, 2015</t>
  </si>
  <si>
    <t>Orion's heat shield left Kennedy to undergo more testing at Marshall Spaceflight Center in Alabama following December's flight test. Out at historic Launch Complex 39A, construction is proceeding at pace to modify the launch pad for future SpaceX missions.</t>
  </si>
  <si>
    <t>M5feIiW0WGU</t>
  </si>
  <si>
    <t>https://youtu.be/dSXoUvdJulU</t>
  </si>
  <si>
    <t>MMS Spacecraft Separation</t>
  </si>
  <si>
    <t>The four Magnetospheric Multiscale, or MMS, spacecraft separate from the Centaur upper stage as they are deployed into orbit. Liftoff took place from Cape Canaveral Air Force Station's Space Launch Complex 41 at 10:44 p.m. EST.</t>
  </si>
  <si>
    <t>dSXoUvdJulU</t>
  </si>
  <si>
    <t>https://youtu.be/P30SwoVJvhw</t>
  </si>
  <si>
    <t>Liftoff of MMS</t>
  </si>
  <si>
    <t>The Atlas V rocket lifts off from Space Launch Complex 41 at Cape Canaveral Air Force Station carrying four Magnetospheric Multiscale, or MMS, spacecraft on a mission to study magnetic reconnection. Scientists believe MMS will provide insights into the fundamental process that occurs throughout the universe. Liftoff was at 10:44 p.m. EDT.</t>
  </si>
  <si>
    <t>P30SwoVJvhw</t>
  </si>
  <si>
    <t>https://youtu.be/iIO2TyF6JKk</t>
  </si>
  <si>
    <t>MMS, Atlas V are  Go  for Launch</t>
  </si>
  <si>
    <t>In the Launch Control Center at Cape Canaveral Air Force Station, NASA and contractor managers and engineers monitor progress in the countdown to launch an Atlas V rocket and confirm all is ready for liftoff. The launch vehicle will boost four Magnetospheric Multiscale, or MMS, spacecraft on a mission to study space weather.</t>
  </si>
  <si>
    <t>iIO2TyF6JKk</t>
  </si>
  <si>
    <t>https://youtu.be/sFdN7MQ5yDs</t>
  </si>
  <si>
    <t>NASA's MMS Ready for Launch Atop Atlas V</t>
  </si>
  <si>
    <t>An Atlas V rocket stands ready to boost four Magnetospheric Multiscale, or MMS, spacecraft from Space Launch Complex 41 at Cape Canaveral Air Force Station in Florida on a mission to study magnetic reconnection, scientists believe MMS will provide insights into the fundamental process that occurs throughout the universe.</t>
  </si>
  <si>
    <t>sFdN7MQ5yDs</t>
  </si>
  <si>
    <t>2015 03 12</t>
  </si>
  <si>
    <t>https://youtu.be/cIZpsO7OC0g</t>
  </si>
  <si>
    <t>Atlas V Rolled to Launch Pad for MMS</t>
  </si>
  <si>
    <t>The United Launch Alliance Atlas V rocket is rolled from Vertical Integration Facility to the pad at Launch Complex 41. With four identical Magnetospheric Multiscale, or MMS, spacecraft, this is an unprecedented NASA mission to study magnetic reconnection. Scientists believe MMS will provide insights into the fundamental process that occurs throughout the universe.</t>
  </si>
  <si>
    <t>cIZpsO7OC0g</t>
  </si>
  <si>
    <t>https://youtu.be/XTsQAV17gWs</t>
  </si>
  <si>
    <t>MMS Researcher Demonstrates Wire Experiment</t>
  </si>
  <si>
    <t>A scientist working with NASA's Magnetospheric MultiScale mission, or MMS, demonstrates on a small scale the interaction of magnetic fields.</t>
  </si>
  <si>
    <t>XTsQAV17gWs</t>
  </si>
  <si>
    <t>2015 03 11</t>
  </si>
  <si>
    <t>https://youtu.be/TSGrcpgzRIE</t>
  </si>
  <si>
    <t>MMS and Atlas V Readied for Launch</t>
  </si>
  <si>
    <t>NASA's Magnetospheric Multiscale mission is the first of its kind to study a fundamental driver of space weather called magnetic reconnection. Learn how the four identical MMS observatories and their ride into space, the United Launch Alliance Atlas V rocket, were prepared for launch.</t>
  </si>
  <si>
    <t>TSGrcpgzRIE</t>
  </si>
  <si>
    <t>https://youtu.be/dUF0ePGW-0E</t>
  </si>
  <si>
    <t>NASA's Magnetospheric Multiscale Mission</t>
  </si>
  <si>
    <t>NASA is planning to launch four spacecraft to orbit the Earth through the dynamic magnetic system surrounding our planet, studying a little-understood phenomenon called magnetic reconnection.</t>
  </si>
  <si>
    <t>dUF0ePGW-0E</t>
  </si>
  <si>
    <t>2015 03 10</t>
  </si>
  <si>
    <t>https://youtu.be/ZmHODhOg6x0</t>
  </si>
  <si>
    <t>AstroViews  The Promise of Commercial Crew</t>
  </si>
  <si>
    <t>NASA astronauts Mike Fincke, Jeanette Epps and Suni Williams highlight the goals and impact Commercial Crew will have on the national priorities of space exploration and increasing research on the International Space Station.
Written by Steven Siceloff
Produced by Aaron Peshek
Edited by Michael Chambers</t>
  </si>
  <si>
    <t>ZmHODhOg6x0</t>
  </si>
  <si>
    <t>2015 03 06</t>
  </si>
  <si>
    <t>https://youtu.be/2PWVfUqgoso</t>
  </si>
  <si>
    <t>Inside KSC! March. 6, 2015</t>
  </si>
  <si>
    <t>This week at Kennedy, the Magnetospheric MultiScale spacecraft and rocket were joined at the launch pad. And take a look at Kennedy's transformation to a multi-user spaceport in the video Nathalie mentions: http://youtu.be/gxlQqN13fWA
Written by Steven Siceloff
Produced by Aaron Peshek
Edited by Michael Chambers</t>
  </si>
  <si>
    <t>2PWVfUqgoso</t>
  </si>
  <si>
    <t>2015 03 04</t>
  </si>
  <si>
    <t>https://youtu.be/P5rHs3SOKdo</t>
  </si>
  <si>
    <t>Launch Services Program  Expand the Frontiers of Knowledge</t>
  </si>
  <si>
    <t>Mercury, Venus, Earth, Mars, Jupiter, Saturn, Uranus and Neptune. Join NASA’s Launch Services Program as they take you on an educational tour of the solar system.</t>
  </si>
  <si>
    <t>P5rHs3SOKdo</t>
  </si>
  <si>
    <t>2015 02 27</t>
  </si>
  <si>
    <t>https://youtu.be/mYlBabMIesE</t>
  </si>
  <si>
    <t>Inside KSC! Feb. 27, 2015</t>
  </si>
  <si>
    <t>Boeing and ULA broke ground Feb. 20 on a new crew access tower for Commercial Crew in this week's Inside KSC! Also, take a look at the progress of the "Swarmies" as they test search techniques that could be used in future exploration. 
Written by Steven Siceloff
Produced by Aaron Peshek
Edited by Chris Chamberland</t>
  </si>
  <si>
    <t>mYlBabMIesE</t>
  </si>
  <si>
    <t>2015 02 20</t>
  </si>
  <si>
    <t>https://youtu.be/ukyeCnrWvGs</t>
  </si>
  <si>
    <t>New Commercial Crew Access Tower Going Up</t>
  </si>
  <si>
    <t>Boeing and United Launch Alliance will add to the Space Coast skyline with the first new crew access structure to be constructed at Cape Canaveral Air Force Station since the 1960s. The 200-foot-tall tower will be assembled over 18 months at Space Launch Complex 41 and is designed to meet the needs of test pilots, astronauts and support personnel who will access Boeing’s CST-100 before it launches atop an Atlas V. NASA’s Commercial Crew Program is working with the American aerospace industry in the development and certification of crew transportation systems that will fly astronauts to and from the International Space Station from the United States.</t>
  </si>
  <si>
    <t>ukyeCnrWvGs</t>
  </si>
  <si>
    <t>https://youtu.be/aXmfhsMmA44</t>
  </si>
  <si>
    <t>Inside KSC! Feb. 20, 2015</t>
  </si>
  <si>
    <t>Inside KSC this week, see the progress of the MMS mission toward launch on March 12. The crawler-transporter marked the 50th anniversary of the rocket movers with a drive out to Pad B following modification work to strengthen the crawler for moving the Space Launch System rocket in the future.</t>
  </si>
  <si>
    <t>aXmfhsMmA44</t>
  </si>
  <si>
    <t>2015 02 18</t>
  </si>
  <si>
    <t>https://youtu.be/gxlQqN13fWA</t>
  </si>
  <si>
    <t>Kennedy Space Center  A New Era</t>
  </si>
  <si>
    <t>NASA's Kennedy Space Center is midway through its transition from government-focused launch facility to multi-user spaceport capable of handling the needs of NASA's space exploration ambitions as well as commercial companies.
Written by Steve Siceloff
Produced by Aaron Peshek
Edited by Chris Chamberland</t>
  </si>
  <si>
    <t>gxlQqN13fWA</t>
  </si>
  <si>
    <t>2015 02 13</t>
  </si>
  <si>
    <t>https://youtu.be/aO0x6Nslwvw</t>
  </si>
  <si>
    <t>AstroViews  Jeanette Epps</t>
  </si>
  <si>
    <t>Astronaut Jeanette Epps details the technology, innovation and excitement on the horizon for American space exploration as NASA's Commercial Crew Program and its partners build toward flights from American soil on spacecraft made in the United States.</t>
  </si>
  <si>
    <t>aO0x6Nslwvw</t>
  </si>
  <si>
    <t>https://youtu.be/Tg8Cs-MEyRI</t>
  </si>
  <si>
    <t>Inside KSC! Feb. 13, 2015</t>
  </si>
  <si>
    <t>DSCOVR launches this week to headline events Inside KSC! The launch of the NOAA spacecraft was the third of 2015 for Kennedy teams, including CRS-5 and SMAP. Safety and Health Week is personal this year and the Tour de KSC bicyle ride is coming up!</t>
  </si>
  <si>
    <t>Tg8Cs-MEyRI</t>
  </si>
  <si>
    <t>2015 02 11</t>
  </si>
  <si>
    <t>https://youtu.be/Pl3x71-kJGM</t>
  </si>
  <si>
    <t>DSCOVR Launches Aboard SpaceX Falcon 9</t>
  </si>
  <si>
    <t>The SpaceX Falcon 9 rocket carrying NOAA’s Deep Space Climate Observatory spacecraft, or DSCOVR, lifts off from Space Launch Complex 40 at Cape Canaveral Air Force Station in Florida. DSCOVR is a partnership between NOAA, NASA and the U.S. Air Force, and will maintain the nation's real-time solar wind monitoring capabilities.</t>
  </si>
  <si>
    <t>Pl3x71-kJGM</t>
  </si>
  <si>
    <t>2015 02 06</t>
  </si>
  <si>
    <t>https://youtu.be/Pv2XGNFFTCQ</t>
  </si>
  <si>
    <t>Inside KSC! Feb. 6, 2015</t>
  </si>
  <si>
    <t>NASA Administrator Charles Bolden visited Kennedy this week to deliver his annual "State of NASA" address in front of the the Orion, Boeing CST-100 weldment and SpaceX Dragon spacecraft. Kennedy teams also launched SMAP this week and are getting ready for NOAA's DSCOVR mission.</t>
  </si>
  <si>
    <t>Pv2XGNFFTCQ</t>
  </si>
  <si>
    <t>2015 02 04</t>
  </si>
  <si>
    <t>https://youtu.be/bxcaCcLhaVI</t>
  </si>
  <si>
    <t>Airborne Eagle Surveys Help Protect Wildlife</t>
  </si>
  <si>
    <t>Aircraft Operations at NASA's Kennedy Space Center in Florida often joins forces with environmental experts to survey local eagle nests keeping tabs on these majestic birds.</t>
  </si>
  <si>
    <t>bxcaCcLhaVI</t>
  </si>
  <si>
    <t>2015 01 31</t>
  </si>
  <si>
    <t>https://youtu.be/ORq-iEJXpkY</t>
  </si>
  <si>
    <t>Following the launch of the Soil Moisture Active Passive, or SMAP, satellite, NASA Launch Director Tim Dunn discusses the liftoff of the Delta II rocket from Vandenberg Air Force Base with George Diller of NASA Public Affairs.</t>
  </si>
  <si>
    <t>ORq-iEJXpkY</t>
  </si>
  <si>
    <t>https://youtu.be/lLY-w5wgPvw</t>
  </si>
  <si>
    <t>SMAP Spacecraft Separation</t>
  </si>
  <si>
    <t>While pointed toward the sun, the Soil Moisture Active Passive, or SMAP, satellite separated from the Delta II upper stage as it was deployed into Earth orbit. Liftoff took place from Vandenberg Air Force Base's Space Launch Complex 2 at 6:22 a.m. PST (9:22 a.m. EST).</t>
  </si>
  <si>
    <t>lLY-w5wgPvw</t>
  </si>
  <si>
    <t>https://youtu.be/uHStsxlqwK8</t>
  </si>
  <si>
    <t>Liftoff of SMAP</t>
  </si>
  <si>
    <t>The Delta II rocket lifts off from Space Launch Complex 2 at Vandenberg Air Force Base carrying the Soil Moisture Active Passive, or SMAP, satellite on a mission to measure and map the Earth's soil moisture distribution and freeze/thaw state with unprecedented accuracy. Liftoff was at 6:22 a.m. PST (9:22 a.m. EST).</t>
  </si>
  <si>
    <t>uHStsxlqwK8</t>
  </si>
  <si>
    <t>https://youtu.be/N8zsHN6Hfww</t>
  </si>
  <si>
    <t>SMAP, Delta II  Go  for Launch</t>
  </si>
  <si>
    <t>In the Launch Control Center at Vandenberg Air Force Base, NASA and contractor managers and engineers monitor progress in the countdown to launch a Delta II rocket. The launch vehicle will boost the Soil Moisture Active Passive, or SMAP, satellite.</t>
  </si>
  <si>
    <t>N8zsHN6Hfww</t>
  </si>
  <si>
    <t>https://youtu.be/As7GyQ6QTuQ</t>
  </si>
  <si>
    <t>Exploring Careers with LSP</t>
  </si>
  <si>
    <t>From an introduction to the NASA language to an up-close look at the Orbiting Carbon Observatory-2 mission, this video takes you behind the scenes at NASA's Launch Services Program to explore careers in the fields of science, technology, engineering and math.</t>
  </si>
  <si>
    <t>As7GyQ6QTuQ</t>
  </si>
  <si>
    <t>https://youtu.be/KIT2pGrLOqc</t>
  </si>
  <si>
    <t>NASA SMAP Ready for Second Attempt at Vandenberg AFB</t>
  </si>
  <si>
    <t>A Delta II rocket stands ready for a second attempt to boost the Spoil Moisture Active Passive, or SMAP, satellite from Space Launch Complex 2 at Vandenberg Air Force Base in California on a mission to measure and map the Earth's soil moisture distribution and freeze/thaw state with unprecedented accuracy.</t>
  </si>
  <si>
    <t>KIT2pGrLOqc</t>
  </si>
  <si>
    <t>2015 01 30</t>
  </si>
  <si>
    <t>https://youtu.be/Q0Ak5mpQXkQ</t>
  </si>
  <si>
    <t>Inside KSC! Jan. 30, 2015</t>
  </si>
  <si>
    <t>Go Inside KSC this week to learn new details about the Kennedy based Commercial Crew Program and to find out what is important about the SMAP mission.</t>
  </si>
  <si>
    <t>Q0Ak5mpQXkQ</t>
  </si>
  <si>
    <t>2015 01 29</t>
  </si>
  <si>
    <t>https://youtu.be/f1gLEatOSe8</t>
  </si>
  <si>
    <t>SMAP Launch Postponed</t>
  </si>
  <si>
    <t>At Vandenberg Air Force Base in California, the launch of NASA's Soil Moisture Active Passive, or SMAP, spacecraft was postponed because of a wind shear at 34,000 feet. Managers and engineers now are preparing for a second launch attempt tomorrow, Jan. 30, 2015, at 6:20 a.m. PST (9:20 a.m. EST).</t>
  </si>
  <si>
    <t>f1gLEatOSe8</t>
  </si>
  <si>
    <t>https://youtu.be/JWnX9TtGVxY</t>
  </si>
  <si>
    <t>NASA SMAP Countdown Underway at Vandenberg AFB</t>
  </si>
  <si>
    <t>A Delta II rocket stands ready for a second attempt to boost the Soil Moisture Active Passive, or SMAP, satellite from Space Launch Complex 2 at Vandenberg Air Force Base in California on a mission to measure and map the Earth's soil moisture distribution and freeze/thaw stat with unprecedented accuracy.</t>
  </si>
  <si>
    <t>JWnX9TtGVxY</t>
  </si>
  <si>
    <t>https://youtu.be/CTVBAsQbF9Q</t>
  </si>
  <si>
    <t>Launch Pad Gantry Rolls back for SMAP Launch</t>
  </si>
  <si>
    <t>At Vandenberg Air Force Base in California, the gantry at Space Launch Complex 2 rolls back in preparation for the liftoff of a United Launch Alliance Delta II rocket with the Soil Moisture Active Passive, or SMAP, satellite.</t>
  </si>
  <si>
    <t>CTVBAsQbF9Q</t>
  </si>
  <si>
    <t>2015 01 27</t>
  </si>
  <si>
    <t>https://youtu.be/ro2gcZjxFak</t>
  </si>
  <si>
    <t>Suni Williams  Commercial Crew a Natural Station Partner</t>
  </si>
  <si>
    <t>Astronaut Suni Williams, who flew on the International Space Station, space shuttle and Russian Soyuz, describes the value of NASA's Commercial Crew Program for American interests in space and in doubling the amount of science astronauts can perform on the orbiting laboratory.</t>
  </si>
  <si>
    <t>ro2gcZjxFak</t>
  </si>
  <si>
    <t>https://youtu.be/lABnMHy5HUU</t>
  </si>
  <si>
    <t>SMAP Poised to Launch on Soil Survey Flight</t>
  </si>
  <si>
    <t>NASA is gearing up to launch the SMAP spacecraft on a mission to survey the moisture in soil across the Earth. The benefits of the in-depth study will lie in better forecasting climate conditions and evaluating crop growth.</t>
  </si>
  <si>
    <t>lABnMHy5HUU</t>
  </si>
  <si>
    <t>https://youtu.be/cJCjVLEROVw</t>
  </si>
  <si>
    <t>Soil Mapping Spacecraft Ready for Flight</t>
  </si>
  <si>
    <t>NASA’s Soil Moisture Active Passive (SMAP) spacecraft will be boosted into orbit aboard a United Launch Alliance Delta II rocket from Vandenberg Air Force Base in California. Learn how SMAP and the Delta II were readied for liftoff.</t>
  </si>
  <si>
    <t>cJCjVLEROVw</t>
  </si>
  <si>
    <t>https://youtu.be/9QtuhB6fgB8</t>
  </si>
  <si>
    <t>Inside KSC! Jan. 27, 2015</t>
  </si>
  <si>
    <t>Take a look at NASA's newest app: NASA 3DV. The app shows users what it looks like standing on the launch pad with the Space Launch System rocket looming above. Download the NASA 3DV app from iTunes at http://go.nasa.gov/18plRtl</t>
  </si>
  <si>
    <t>9QtuhB6fgB8</t>
  </si>
  <si>
    <t>2015 01 16</t>
  </si>
  <si>
    <t>https://youtu.be/cc6y_V3YQKU</t>
  </si>
  <si>
    <t>Inside KSC! Jan. 16, 2015</t>
  </si>
  <si>
    <t>SpaceX launches CRS-5 from KSC to begin the 2015 launch calendar. The flight lifts another 5,000 pounds of vital experiments, equipment and supplies to the orbiting laboratory.</t>
  </si>
  <si>
    <t>cc6y_V3YQKU</t>
  </si>
  <si>
    <t>2015 01 10</t>
  </si>
  <si>
    <t>https://youtu.be/33BZi6JC5ZU</t>
  </si>
  <si>
    <t>Liftoff of SpaceX CRS-5</t>
  </si>
  <si>
    <t>The SpaceX CRS-5 Falcon 9 rocket lifts off from Space Launch Complex 40 at Cape Canaveral Air Force Station carrying a Dragon spacecraft to the International Space Station. Liftoff was at 4:47 a.m. EST.</t>
  </si>
  <si>
    <t>33BZi6JC5ZU</t>
  </si>
  <si>
    <t>https://youtu.be/R9eFWwLGYPM</t>
  </si>
  <si>
    <t>Falcon 9 Ready for Launch</t>
  </si>
  <si>
    <t>In the Launch Control Center at Cape Canaveral Air Force Station, NASA and contractor managers and engineers monitor progress in the countdown to launch a SpaceX Falcon 9 rocket. The launch vehicle will boost a Dragon capsule on a fifth commercial resupply mission delivering cargo to the International Space Station.</t>
  </si>
  <si>
    <t>R9eFWwLGYPM</t>
  </si>
  <si>
    <t>2015 01 09</t>
  </si>
  <si>
    <t>https://youtu.be/2ngNQRGqdWs</t>
  </si>
  <si>
    <t>Inside KSC! Jan. 9, 2015</t>
  </si>
  <si>
    <t>Inside KSC kicks off the new year with a look at some of KSC's upcoming missions, including the Cargo Resupply mission by SpaceX, the SMAP and DSCOVR launches and the MMS mission.</t>
  </si>
  <si>
    <t>2ngNQRGqdWs</t>
  </si>
  <si>
    <t>2014 12 19</t>
  </si>
  <si>
    <t>https://youtu.be/6j77Nabl6c8</t>
  </si>
  <si>
    <t>Inside KSC! Dec. 19, 2014</t>
  </si>
  <si>
    <t>Join us for a look back at Kennedy's achievements in 2014, including brilliant Launch Services Program missions, the award of Commercial Crew' final certification contract and capped by the spectacular success of the Orion Flight Test.</t>
  </si>
  <si>
    <t>6j77Nabl6c8</t>
  </si>
  <si>
    <t>2014 12 18</t>
  </si>
  <si>
    <t>https://youtu.be/TxQKihqPiOc</t>
  </si>
  <si>
    <t>Orion Spacecraft Returns to NASA’s Kennedy Space Center</t>
  </si>
  <si>
    <t>NASA’s Orion spacecraft returned to the agency’s Kennedy Space Center in Florida Dec. 18, 2014. The spacecraft flew to an altitude of 3,600 miles in space during a Dec. 5 flight test designed to stress many of the riskiest events Orion will see when it sends astronauts on future missions to an asteroid and on the journey to Mars. The spacecraft’s cross-country return, a 2,700 mile road trip from Naval Base San Diego to Kennedy, sets the stage for in-depth analysis of data obtained during the mission and will provide engineers detailed information on how the spacecraft fared during its two-orbit, 4.5-hour flight test.</t>
  </si>
  <si>
    <t>TxQKihqPiOc</t>
  </si>
  <si>
    <t>2014 12 16</t>
  </si>
  <si>
    <t>https://youtu.be/FzB6dNLoWIQ</t>
  </si>
  <si>
    <t>Morpheus Soars in Free Flight 15</t>
  </si>
  <si>
    <t>NASA’s Project Morpheus prototype lander soars 800 feet above the north end of the Shuttle Landing Facility at Kennedy Space Center in Florida on free flight test No. 15. During the 97-second test, onboard autonomous landing and hazard avoidance technology sensors, or ALHAT, surveyed the hazard field for safe landing sites, then guided the lander forward and downward to a successful landing.</t>
  </si>
  <si>
    <t>FzB6dNLoWIQ</t>
  </si>
  <si>
    <t>2014 12 15</t>
  </si>
  <si>
    <t>https://youtu.be/wa3zEERxSGU</t>
  </si>
  <si>
    <t>Inside KSC! Dec. 15, 2014</t>
  </si>
  <si>
    <t>This week's edition of Inside KSC! looks at the return of Orion to shore and the start of its trip back to Kennedy following its spectacularly successful flight test.</t>
  </si>
  <si>
    <t>wa3zEERxSGU</t>
  </si>
  <si>
    <t>2014 12 08</t>
  </si>
  <si>
    <t>https://youtu.be/gIfPK7-9aR4</t>
  </si>
  <si>
    <t>Inside KSC! Dec. 8, 2014</t>
  </si>
  <si>
    <t>The first flight test of NASA's Orion spacecraft was picture-perfect from liftoff at Cape Canaveral to splashdown and recovery in the Pacific. Relive the highlights of the incredible this week on Inside KSC!</t>
  </si>
  <si>
    <t>gIfPK7-9aR4</t>
  </si>
  <si>
    <t>2014 12 05</t>
  </si>
  <si>
    <t>https://youtu.be/LoItSvCBN0U</t>
  </si>
  <si>
    <t>Orion From the Recovery Ship</t>
  </si>
  <si>
    <t>NASA, the U.S. Navy and Lockheed Martin recovery crews aboard the USS Anchorage witnessed the Orion spacecraft as it splashed down in the Pacific Ocean.</t>
  </si>
  <si>
    <t>LoItSvCBN0U</t>
  </si>
  <si>
    <t>https://youtu.be/tdmZAvwznOU</t>
  </si>
  <si>
    <t>Orion Splashdown</t>
  </si>
  <si>
    <t>NASA's Orion spacecraft splashed down in the Pacific Ocean approximately 600 southwest of San Diego. The recovery team from NASA, the U.S. Navy and Lockheed Martin will perform initial recovery operations, including safing the crew module and towing it into the well deck of the USS Anchorage, a landing platform-dock ship.</t>
  </si>
  <si>
    <t>tdmZAvwznOU</t>
  </si>
  <si>
    <t>https://youtu.be/TDYK_qW6qHE</t>
  </si>
  <si>
    <t>Orion, Delta IV Heavy Liftoff-Up Close</t>
  </si>
  <si>
    <t>A Delta IV Heavy rocket lifts off from Space Launch Complex 37 at Cape Canaveral Air Force Station carrying NASA's Orion spacecraft on an unpiloted flight test to Earth orbit. Liftoff was at 7:05 a.m. EST. During the two-orbit, four-and-a-half hour mission, engineers will evaluate the systems critical to crew safety, the launch abort system, the heat shield and the parachute system.</t>
  </si>
  <si>
    <t>TDYK_qW6qHE</t>
  </si>
  <si>
    <t>https://youtu.be/u1rOp66VqpU</t>
  </si>
  <si>
    <t>NASA's Orion Ready for Launch</t>
  </si>
  <si>
    <t>In the Launch Control Center at Cape Canaveral Air Force Station, NASA and contractor managers and engineers monitor progress in the countdown to launch of a Delta IV Heavy rocket with NASA's Orion spacecraft.</t>
  </si>
  <si>
    <t>u1rOp66VqpU</t>
  </si>
  <si>
    <t>https://youtu.be/6Hn8qnsucwo</t>
  </si>
  <si>
    <t>Liftoff of Orion</t>
  </si>
  <si>
    <t>6Hn8qnsucwo</t>
  </si>
  <si>
    <t>2014 12 03</t>
  </si>
  <si>
    <t>https://youtu.be/PTsI3Io_hsI</t>
  </si>
  <si>
    <t>Orion Prepared for December Flight Test</t>
  </si>
  <si>
    <t>Orion's journey to the pad for its first flight test began about two years ago, when the vehicle first arrived at the Neil Armstrong Operations and Checkout Building high bay at NASA's Kennedy Space Center in Florida. Inside this building, the Orion team of NASA and Lockheed Martin engineers and technicians spent countless hours and days building up the spacecraft, putting it through a series of tests, installing the heat shield, stacking it atop the service module, fueling it and installing the Launch Abort System. Then it made the trek to the Space Launch Complex 37 at Cape Canaveral Air Force Station.</t>
  </si>
  <si>
    <t>PTsI3Io_hsI</t>
  </si>
  <si>
    <t>2014 12 02</t>
  </si>
  <si>
    <t>https://youtu.be/9yRK_7OT6Do</t>
  </si>
  <si>
    <t>NASA’s Parallel Path to Human Space Exploration</t>
  </si>
  <si>
    <t>America’s human space exploration goals for the 21st Century include destinations both in low-Earth orbit to the International Space Station and deep space missions to an asteroid and even to Mars. Different exploration destinations require different systems. NASA’s Journey to Mars will take a critical step forward with the first test launch of the Orion spacecraft, which the agency will own and operate. Meanwhile, NASA’s Commercial Crew Program is spearheading the development of two commercially owned and operated space transportation systems that will give astronauts safe, reliable and cost-effective access to and from the International Space Station, where cutting edge research and technology developments are increasing our knowledge about what it takes to live and work for long periods of time in space. These new American spacecraft also will allow us to add a seventh crew member to the space station and double the amount of time the crew has to conduct research aboard the unique microgravity laboratory.</t>
  </si>
  <si>
    <t>9yRK_7OT6Do</t>
  </si>
  <si>
    <t>2014 12 01</t>
  </si>
  <si>
    <t>https://youtu.be/SYsGr9wqdvA</t>
  </si>
  <si>
    <t>Inside KSC! Dec. 1, 2014</t>
  </si>
  <si>
    <t>This week's edition of Inside KSC! previews the launch of the Orion Flight Test and takes a look at the new countdown display that has replaced the former countdown clock at Kennedy.</t>
  </si>
  <si>
    <t>SYsGr9wqdvA</t>
  </si>
  <si>
    <t>2014 11 21</t>
  </si>
  <si>
    <t>https://youtu.be/yDHOo5dGYyk</t>
  </si>
  <si>
    <t>Inside KSC! Nov. 21, 2014</t>
  </si>
  <si>
    <t>This week, the Morpheus project team returned to Kennedy for the next round of testing on the uncrewed lander. Ships on the West Coast were also outfitted by Kennedy workers for recovery operations  so they can retrieve Orion at the end of its flight test in December.</t>
  </si>
  <si>
    <t>yDHOo5dGYyk</t>
  </si>
  <si>
    <t>2014 11 14</t>
  </si>
  <si>
    <t>https://youtu.be/_0TP_ySwEC0</t>
  </si>
  <si>
    <t>Inside KSC! Nov. 14, 2014</t>
  </si>
  <si>
    <t>NASA's Orion spacecraft took an important step toward space this week when it was moved to the launch pad and placed atop the Delta IV Heavy rocket that will send it into space December 4. Recovery teams practiced retrieving Orion from the water in contingency circumstances during rehearsals at Johnson Space Center.</t>
  </si>
  <si>
    <t>_0TP_ySwEC0</t>
  </si>
  <si>
    <t>https://youtu.be/0rUOMHpWWng</t>
  </si>
  <si>
    <t>Orion Spacecraft Moves to Space Launch Complex 37</t>
  </si>
  <si>
    <t>The Orion spacecraft moved from the Launch Abort Servicing Facility at NASA's Kennedy Space Center on Nov. 11 to Space Launch Complex 37 at Cape Canaveral Air Force Station. After arriving at the pad Nov. 12, Orion was lifted for stacking on the United Launch Alliance Delta IV Heavy rocket in preparation for its flight test in December.</t>
  </si>
  <si>
    <t>0rUOMHpWWng</t>
  </si>
  <si>
    <t>2014 11 13</t>
  </si>
  <si>
    <t>https://youtu.be/DgDM5v7S7sc</t>
  </si>
  <si>
    <t>Time-lapse of Orion's Roll to the Launch Pad</t>
  </si>
  <si>
    <t>The Orion spacecraft began its overnight journey to the launch pad Nov. 11 at 8:54 p.m. ET. The six-hour move from Kennedy Space Center's Launch Abort System Facility took the spacecraft past the iconic Vehicle Assembly Building on its way to Space Launch Complex 37 on Cape Canaveral Air Force Station, where the United Launch Alliance Delta IV Heavy rocket awaits. Orion arrived at the launch pad Nov. 12 at 3:07 a.m. Orion's first flight test is slated to launch Dec. 4.</t>
  </si>
  <si>
    <t>DgDM5v7S7sc</t>
  </si>
  <si>
    <t>2014 11 07</t>
  </si>
  <si>
    <t>https://youtu.be/Mxcw5t7Z2Ok</t>
  </si>
  <si>
    <t>Inside KSC! Nov 7, 2014</t>
  </si>
  <si>
    <t>This week, work at Kennedy continues on the Mobile Launcher as it is outfitted for NASA's massive new rocket, the Space Launch System. Also, the first two satellites that will make up the four-satellite configuration of the Magnetispheric Multiscale mission arrived at Kennedy for launch processing.</t>
  </si>
  <si>
    <t>Mxcw5t7Z2Ok</t>
  </si>
  <si>
    <t>https://youtu.be/BjCsjU-ZYQ0</t>
  </si>
  <si>
    <t>Training Helps Helicopter Crews Prepare for Fighting Fires</t>
  </si>
  <si>
    <t>Kennedy Space Center Aircraft Operations polishes firefighting skills using a "Bambi Bucket."</t>
  </si>
  <si>
    <t>BjCsjU-ZYQ0</t>
  </si>
  <si>
    <t>2014 10 31</t>
  </si>
  <si>
    <t>https://youtu.be/MVo1YguUsVE</t>
  </si>
  <si>
    <t>Inside KSC! Oct. 31, 2014</t>
  </si>
  <si>
    <t>Go Inside KSC this week to see innovation on a grand scale and see the completion of hte NASA's Orion spacecraft for its first flight test coming up in December.</t>
  </si>
  <si>
    <t>MVo1YguUsVE</t>
  </si>
  <si>
    <t>2014 10 23</t>
  </si>
  <si>
    <t>https://youtu.be/2XUL3edY3wI</t>
  </si>
  <si>
    <t>Inside KSC! Oct. 24, 2014</t>
  </si>
  <si>
    <t>Go Inside KSC this week and see NASA's Launch Services Program team from Kennedy begin work in California prepping the SMAP spacecraft for launch. Also find out why locomotives were recently used at the space center for vibration testing.</t>
  </si>
  <si>
    <t>2XUL3edY3wI</t>
  </si>
  <si>
    <t>2014 10 17</t>
  </si>
  <si>
    <t>https://youtu.be/D2Odsnn1H9A</t>
  </si>
  <si>
    <t>Inside KSC! Oct 17, 2014</t>
  </si>
  <si>
    <t>Go Inside KSC for the latest news from Kennedy Space Center. This week, NASA adds Launch Abort System to Orion spacecraft, Kennedy preps high-pressure oxygen and nitrogen tanks to provide air aboard the International Space Station.</t>
  </si>
  <si>
    <t>D2Odsnn1H9A</t>
  </si>
  <si>
    <t>2014 10 10</t>
  </si>
  <si>
    <t>https://youtu.be/iQLZzYiCPjk</t>
  </si>
  <si>
    <t>Inside KSC! Oct. 10, 2014</t>
  </si>
  <si>
    <t>Go Inside KSC for the latest news from Kennedy Space Center. This week, Kennedy breaks ground on a new, energy efficient central campus to replace the original headquarters building. Over in the Vehicle Assembly Building, one of the iconic cranes that stacked shuttles for launch is being refurbished to do the same for NASA's mammoth rocket, the Space Launch System.</t>
  </si>
  <si>
    <t>iQLZzYiCPjk</t>
  </si>
  <si>
    <t>2014 10 03</t>
  </si>
  <si>
    <t>https://youtu.be/DXWp0WwZWR0</t>
  </si>
  <si>
    <t>Inside KSC! Oct 3, 2014</t>
  </si>
  <si>
    <t>Go Inside KSC for the latest news from Kennedy Space Center. This week, NASA preps the Orion spacecraft for its upcoming flight test and moves Orion's Delta IV Heavy rocket into place on the launch pad at Cape Canaveral.</t>
  </si>
  <si>
    <t>DXWp0WwZWR0</t>
  </si>
  <si>
    <t>2014 10 02</t>
  </si>
  <si>
    <t>https://youtu.be/-GpBZSIO22U</t>
  </si>
  <si>
    <t>Time-Lapse of Delta IV Rollout and Lift</t>
  </si>
  <si>
    <t>The United Launch Alliance Delta IV Heavy rocket for Exploration Flight Test-1 rolled out of the Horizontal Integration Facility Near Space Launch Complex 37 at Cape Canaveral Air Force Station in Florida on Sept. 30 and transported to the pad. The rocket was raised into the Mobile Service Tower at the pad Oct. 1.</t>
  </si>
  <si>
    <t>-GpBZSIO22U</t>
  </si>
  <si>
    <t>2014 09 30</t>
  </si>
  <si>
    <t>https://youtu.be/jDN2v0iO3CI</t>
  </si>
  <si>
    <t>Inside KSC! Sept. 30, 2014</t>
  </si>
  <si>
    <t>Join us Inside KSC this week as the SpaceX CRS-4 mission lifts off on a cargo mission to the International Space Station and the Kennedy-launched MAVEN spacecraft safely reaches Mars to begin atmospheric studies of the Red Planet.</t>
  </si>
  <si>
    <t>jDN2v0iO3CI</t>
  </si>
  <si>
    <t>2014 09 24</t>
  </si>
  <si>
    <t>https://youtu.be/pMqn5Z53aY4</t>
  </si>
  <si>
    <t>Inside KSC! Sept. 24, 2014</t>
  </si>
  <si>
    <t>Go Inside KSC for the latest news from Kennedy Space Center. This week, NASA selects commercial crew partners Boeing and SpaceX to ferry astronauts to the International Space Station from American soil as early as 2017, and teams train to recover the Orion spacecraft from the Pacific Ocean.</t>
  </si>
  <si>
    <t>pMqn5Z53aY4</t>
  </si>
  <si>
    <t>2014 09 21</t>
  </si>
  <si>
    <t>https://youtu.be/lX7s-sA7bEk</t>
  </si>
  <si>
    <t>Dragon Spacecraft Separation</t>
  </si>
  <si>
    <t>The SpaceX CRS-4 Dragon spacecraft separated from the SpaceX rocket as it continues on to the International Space Staton. Liftoff took place at Cape Canaveral Air Force Station's Space Launch Complex 41 at 1:52 a.m. EDT.</t>
  </si>
  <si>
    <t>lX7s-sA7bEk</t>
  </si>
  <si>
    <t>https://youtu.be/R5AwRC8nZGc</t>
  </si>
  <si>
    <t>Liftoff of SpaceX-4</t>
  </si>
  <si>
    <t>The SpaceX-4 Falcon 9 rocket lifts off from Space Launch Complex 40 at Cape Canaveral Air Force Station carrying a Dragon spacecraft to the International Space Station. Liftoff was at 1:52 a.m. EDT.</t>
  </si>
  <si>
    <t>R5AwRC8nZGc</t>
  </si>
  <si>
    <t>https://youtu.be/_xlxw_D748c</t>
  </si>
  <si>
    <t>In the Launch Control Center at Cape Canaveral Air Force Station, NASA and contractor managers and engineers monitor progress in the countdown to launch a SpaceX Falcon 9 rocket. The launch vehicle will boost a Dragon capsule on a third commercial resupply mission delivering cargo to the International Space Station.</t>
  </si>
  <si>
    <t>_xlxw_D748c</t>
  </si>
  <si>
    <t>https://youtu.be/lEc7qXx8hek</t>
  </si>
  <si>
    <t>SpaceX CRS-4 Countdown Underway at the Cape</t>
  </si>
  <si>
    <t>At Cape Canaveral Air Force Station's Space Launch Complex 40, a SpaceX Falcon 9 rocket stands ready to boost a Dragon spacecraft with supplies for the International Space Station.</t>
  </si>
  <si>
    <t>lEc7qXx8hek</t>
  </si>
  <si>
    <t>2014 09 20</t>
  </si>
  <si>
    <t>https://youtu.be/0lLpcsZyEqo</t>
  </si>
  <si>
    <t>Falcon 9 Launch Postponed for Weather</t>
  </si>
  <si>
    <t>Because of weather conditions at Cape Canaveral Air Force Station that violated the rules for launching, mission managers postponed its planned SpaceX liftoff of the Falcon 9 rocket carrying the Dragon spacecraft. It is SpaceX’s fourth commercial resupply services mission to the International Space Station. The next launch opportunity is Sunday, Sept. 21, at approximately 1:52 a.m. EDT.</t>
  </si>
  <si>
    <t>0lLpcsZyEqo</t>
  </si>
  <si>
    <t>https://youtu.be/JdLPmU6XJ1Q</t>
  </si>
  <si>
    <t>SpaceX CRS-4 Countdown Underway</t>
  </si>
  <si>
    <t>JdLPmU6XJ1Q</t>
  </si>
  <si>
    <t>2014 09 17</t>
  </si>
  <si>
    <t>https://youtu.be/UMqb2UjMkMg</t>
  </si>
  <si>
    <t>American-Made Spacecraft Selected to Transport U.S. Astronauts to the International Space Station</t>
  </si>
  <si>
    <t>U.S. astronauts will once again travel to and from the International Space Station from the United States on American spacecraft under groundbreaking contracts NASA announced today. The agency unveiled its selection of Boeing and SpaceX to transport U.S. crews to and from the space station using the CST-100 and Crew Dragon, respectively, with a goal of ending the nation’s sole reliance on Russia in 2017. NASA Administrator and former astronaut Charles Bolden made the announcement Sept. 16, 2014, from the agency’s Kennedy Space Center in Florida.
To learn more about the Commercial Crew Program, visit www.nasa.gov/commercialcrew.</t>
  </si>
  <si>
    <t>UMqb2UjMkMg</t>
  </si>
  <si>
    <t>2014 09 16</t>
  </si>
  <si>
    <t>https://youtu.be/DAVHtSDNtCQ</t>
  </si>
  <si>
    <t>SpaceX Dragon version 2 to Transport U.S. Astronauts to the International Space Station</t>
  </si>
  <si>
    <t>The Dragon version 2 spacecraft in development by SpaceX of Hawthorne, California, will advance beyond the design phase and be put into manufacturing for flight tests and eventual operational missions to the International Space Station. NASA selected the company's crew transportation system and spacecraft for a contract in the final phase of certification for privately built and operated integrated systems to carry astronauts from American soil to the orbiting laboratory.</t>
  </si>
  <si>
    <t>DAVHtSDNtCQ</t>
  </si>
  <si>
    <t>https://youtu.be/fuwPdH6UChc</t>
  </si>
  <si>
    <t>Boeing CST-100 to Transport U.S. Astronauts to the International Space Station</t>
  </si>
  <si>
    <t>The CST-100 spacecraft in development by Boeing Space Exploration of Houston, Texas, will -advance beyond the design phase and be put into manufacturing for flight tests and eventual operational missions to the International Space Station. NASA selected the company's crew transportation system and spacecraft for a contract in the final phase of certification for privately built and operated integrated systems to carry astronauts from American soil to the orbiting laboratory.</t>
  </si>
  <si>
    <t>fuwPdH6UChc</t>
  </si>
  <si>
    <t>https://youtu.be/a7P-DHMiyEc</t>
  </si>
  <si>
    <t>Four Years of Progress</t>
  </si>
  <si>
    <t>NASA and its aerospace industry partners have worked together for more than four years to develop subsystems,spacecraft, and launch vehicles that will lead to safe and reliable transportation to and from low-Earth orbit and the International Space Station from the United States on American systems. To learn more about the Commercial Crew Program, visit www.nasa.gov/commercialcrew.</t>
  </si>
  <si>
    <t>a7P-DHMiyEc</t>
  </si>
  <si>
    <t>https://youtu.be/ceQycm1uCFI</t>
  </si>
  <si>
    <t>THE MISSION IS IN SIGHT</t>
  </si>
  <si>
    <t>NASA is poised to announce the final phase of development and certification to provide safe, reliable and cost-effective transportation to and from the International Space Station from the United States on American systems. To learn more about the announcement and NASA's Commercial Crew Program, visit www.nasa.gov/commercialcrew.</t>
  </si>
  <si>
    <t>ceQycm1uCFI</t>
  </si>
  <si>
    <t>2014 09 12</t>
  </si>
  <si>
    <t>https://youtu.be/55O3GowGIiI</t>
  </si>
  <si>
    <t>Inside KSC!</t>
  </si>
  <si>
    <t>55O3GowGIiI</t>
  </si>
  <si>
    <t>2014 09 11</t>
  </si>
  <si>
    <t>https://youtu.be/3jWe_gzozXE</t>
  </si>
  <si>
    <t>NASA’s Orion Spacecraft Moves in Preparation for First Flight</t>
  </si>
  <si>
    <t>NASA, Lockheed Martin and United Launch Alliance managers oversaw the move of the Orion spacecraft from the Kennedy Space Center's Neil Armstrong Operations and Checkout Building to the Payload Hazardous Servicing Facility where Orion will be fueled for its flight test.</t>
  </si>
  <si>
    <t>3jWe_gzozXE</t>
  </si>
  <si>
    <t>2014 08 16</t>
  </si>
  <si>
    <t>https://youtu.be/LwZ2QUu-RJ8</t>
  </si>
  <si>
    <t>Brad Paisley Leaks Song at NASA’s Kennedy Space Center</t>
  </si>
  <si>
    <t>Singer-songwriter Brad Paisley leaked his new song, "American Flag on the Moon" on Aug. 16 from Lanch Complex 39B at NASA's Kennedy Space Center in Florida. Paisley exchanged social media posts about the song with NASA astronaut Reid Wiseman, a current resident of the International Space Station.</t>
  </si>
  <si>
    <t>LwZ2QUu-RJ8</t>
  </si>
  <si>
    <t>2014 08 04</t>
  </si>
  <si>
    <t>https://youtu.be/G_2IFyWXNeA</t>
  </si>
  <si>
    <t>Historic NASA Facility Named for Neil Armstrong</t>
  </si>
  <si>
    <t>A NASA facility with a long-standing impact on America's human spaceflight programs recently was renamed in honor of Neil Armstrong.</t>
  </si>
  <si>
    <t>G_2IFyWXNeA</t>
  </si>
  <si>
    <t>2014 07 14</t>
  </si>
  <si>
    <t>https://youtu.be/R8aByl2fK5I</t>
  </si>
  <si>
    <t>NASA's LCC  Building the Brains of Launch Operations</t>
  </si>
  <si>
    <t>Designers of the Launch Control Center at NASA's Kennedy Space Center in Florida had to come up with a building that would serve as the brains of the processing, testing and launching of the Apollo missions that sent astronauts to the moon.</t>
  </si>
  <si>
    <t>R8aByl2fK5I</t>
  </si>
  <si>
    <t>2014 07 02</t>
  </si>
  <si>
    <t>https://youtu.be/qt6AxlrN_Ns</t>
  </si>
  <si>
    <t>Interview with NASA Launch Manager</t>
  </si>
  <si>
    <t>Following the launch of the Orbiting Carbon Observatory, or OCO-2, satellite, NASA Launch Manager Tim Dunn discusses the lift-off of the Delta II rocket from Vandenberg Air Force Base's Space Launch Complex 2 with George Diller of NASA Public Affairs.</t>
  </si>
  <si>
    <t>qt6AxlrN_Ns</t>
  </si>
  <si>
    <t>https://youtu.be/_hwFYPadnbk</t>
  </si>
  <si>
    <t>OCO-2 Satellite Separation</t>
  </si>
  <si>
    <t>While pointed toward the sun, the Orbiting Carbon Observatory, or OCO-2, satellite separated from the Delta II upper stage as it was deployed into Earth orbit. Liftoff took place from Vandenberg Air Force Base's Space Launch Complex 2 at 2:56 a.m. PDT.</t>
  </si>
  <si>
    <t>_hwFYPadnbk</t>
  </si>
  <si>
    <t>https://youtu.be/njf67aov4XA</t>
  </si>
  <si>
    <t>Liftoff of OCO-2</t>
  </si>
  <si>
    <t>The Delta II rocket lifts off from Space Launch Complex 2 at Vandenberg Air Force Base carrying the Orbiting Carbon Observatory, or OCO-2, satellite on a on a mission to study the Earth's atmosphere. Liftoff was at 2:56 a.m. PDT.</t>
  </si>
  <si>
    <t>njf67aov4XA</t>
  </si>
  <si>
    <t>https://youtu.be/7iOBtNkF32I</t>
  </si>
  <si>
    <t>OCO-2 &amp; Delta II Ready for Launch</t>
  </si>
  <si>
    <t>In the Launch Control Center at Vandenberg Air Force Base, NASA and contractor managers and engineers monitor progress in the countdown to launch a Delta II rocket. The launch vehicle will boost the Orbiting Carbon Observatory, or OCO-2, satellite on a on a mission to study the Earth's atmosphere.</t>
  </si>
  <si>
    <t>7iOBtNkF32I</t>
  </si>
  <si>
    <t>https://youtu.be/4DR9IPb_YYE</t>
  </si>
  <si>
    <t>NASA OCO-2 Countdown Underway at Vandenberg AFB</t>
  </si>
  <si>
    <t>A Delta II rocket stands ready for a second attempt to boost the Orbiting Carbon Observatory, or OCO-2, satellite from Space Launch Complex 2 at Vandenberg Air Force Base in California on a mission to study the Earth's atmosphere.</t>
  </si>
  <si>
    <t>4DR9IPb_YYE</t>
  </si>
  <si>
    <t>2014 07 01</t>
  </si>
  <si>
    <t>https://youtu.be/C8KhYA9L9qI</t>
  </si>
  <si>
    <t>OCO-2 Launch Postponed</t>
  </si>
  <si>
    <t>At Vandenberg Air Force Base in California, the countdown for the launch of NASA's Orbiting Carbon Observatory-2, or OCO-2, spacecraft was stopped at T-46 seconds because of a failure in the launch pad water flow. Because there is only a 30-second launch window, agency managers have postponed the liftoff. Engineers now are assessing the issue to determine the cause of the failure and when they next can attempt to launch OCO-2.</t>
  </si>
  <si>
    <t>C8KhYA9L9qI</t>
  </si>
  <si>
    <t>https://youtu.be/V15bK8Leuf0</t>
  </si>
  <si>
    <t>OCO-2 Countdown Underway</t>
  </si>
  <si>
    <t>A Delta II rocket stands ready to boost the Orbiting Carbon Observatory, or OCO-2, satellite from Space Launch Complex 2 at Vandenberg Air Force Base in California on a mission to study the Earth's atmosphere.</t>
  </si>
  <si>
    <t>V15bK8Leuf0</t>
  </si>
  <si>
    <t>https://youtu.be/KFPHbfl9F9Q</t>
  </si>
  <si>
    <t>Launch Pad Gantry Rolls back for OCO-2 Launch</t>
  </si>
  <si>
    <t>At Vandenberg Air Force Base in California, the gantry at Space Launch Complex 2 rolls back in preparation for the liftoff of a United Launch Alliance Delta II rocket with the Orbital Sciences Corporation's Orbiting Carbon Observatory, or OCO-2, satellite.</t>
  </si>
  <si>
    <t>KFPHbfl9F9Q</t>
  </si>
  <si>
    <t>2014 06 30</t>
  </si>
  <si>
    <t>https://youtu.be/fxdG6XouJBs</t>
  </si>
  <si>
    <t>OCO-2 and Delta II Prepared for Launch</t>
  </si>
  <si>
    <t>Learn how NASA's Orbiting Carbon Observatory-2 spacecraft and the United Launch Alliance Delta II rocket were prepared for liftoff from Vandenberg Air Force Base in California.</t>
  </si>
  <si>
    <t>fxdG6XouJBs</t>
  </si>
  <si>
    <t>https://youtu.be/X5VWayNrtWk</t>
  </si>
  <si>
    <t>OCO-2 to Shed Light on Global Carbon Cycle</t>
  </si>
  <si>
    <t>NASA's Orbiting Carbon Observatory-2, or OCO-2, is designed to study the global carbon cycle from a whole new perspective. From its vantage point in polar orbit, OCO-2 will measure atmospheric carbon dioxide, discovering where it is being emitted and absorbed and revealing the roles of humans, plants and oceans on global CO2 levels.</t>
  </si>
  <si>
    <t>X5VWayNrtWk</t>
  </si>
  <si>
    <t>2014 06 19</t>
  </si>
  <si>
    <t>https://youtu.be/NsT8YxptiBQ</t>
  </si>
  <si>
    <t>Orion Spacecraft Taking Shape for First Flight Test</t>
  </si>
  <si>
    <t>NASA Administrator Charlie Bolden, NASA Orion Program Manager Mark Geyer and others helped mark the T-6 months and counting to the launch of Orion on Exploration Flight Test-1 during a visit June 18 to the Operations and Checkout Building high by at NASA's Kennedy Space Center in Florida.</t>
  </si>
  <si>
    <t>NsT8YxptiBQ</t>
  </si>
  <si>
    <t>https://youtu.be/mvq34Uah7jk</t>
  </si>
  <si>
    <t>Boeing Details Its Plans for CST-100 Assembly at Kennedy</t>
  </si>
  <si>
    <t>The Boeing Company anticipates using the Orbiter Processing Facility 3 and adjacent engine shop as the main manufacturing and assembly facility for the CST-100 spacecraft now in development.</t>
  </si>
  <si>
    <t>mvq34Uah7jk</t>
  </si>
  <si>
    <t>2014 06 17</t>
  </si>
  <si>
    <t>https://youtu.be/ZX7rHlKGiUo</t>
  </si>
  <si>
    <t>Fire Rescue Training Focuses on Safe Helicopter Evacuations</t>
  </si>
  <si>
    <t>Fire Rescue personnel at the Kennedy Space Center recently collaborated with NASA Aircraft Operations to develop procedures for using helicopters to safely and quickly evacuate injured persons to local medical centers.</t>
  </si>
  <si>
    <t>ZX7rHlKGiUo</t>
  </si>
  <si>
    <t>2014 06 05</t>
  </si>
  <si>
    <t>https://youtu.be/lJ7HZkkiRtU</t>
  </si>
  <si>
    <t>Nature Meets Technology at Kennedy Space Center</t>
  </si>
  <si>
    <t>Nature coexists with state-of-the-art technology at NASA's Kennedy Space Center in Florida, which shares boundaries with the Merritt Island National Wildlife Refuge. Here, marshes and scrub land are broken only by towering launch structures, and birds share the skies with rockets. The stories of the wildlife refuge and the space program have been linked since the refuge was established in 1963. Today, these 140,000 acres provide a safe haven for hundreds of species of wildlife -- and serve as a launch pad for voyages to Earth orbit and beyond.</t>
  </si>
  <si>
    <t>lJ7HZkkiRtU</t>
  </si>
  <si>
    <t>2014 05 30</t>
  </si>
  <si>
    <t>https://youtu.be/n-dYG1_erJw</t>
  </si>
  <si>
    <t>SpaceX Unveils Dragon V2</t>
  </si>
  <si>
    <t>NASA industry partner SpaceX unveiled the Dragon V2 spacecraft May 29, 2014. The spacecraft is designed to carry humans into orbit and was developed in partnership with NASA's Commercial Crew Program. The spacecraft includes numerous upgrades from the cargo-only Dragon the company uses to ferry supplies to the International Space Station.</t>
  </si>
  <si>
    <t>n-dYG1_erJw</t>
  </si>
  <si>
    <t>2014 05 29</t>
  </si>
  <si>
    <t>https://youtu.be/3Pbl8zR9o5o</t>
  </si>
  <si>
    <t>Morpheus Completes Nighttime Flight Test</t>
  </si>
  <si>
    <t>The first free-flight test of the Morpheus prototype lander at night was conducted May 28 at the Shuttle Landing Facility at NASA's Kennedy Space Center in Florida. The 98-second test began at 10:02 p.m. EDT with the Morpheus lander launching from the ground over a flame trench and ascending more than 800 feet. The vehicle relied on its autonomous landing and hazard avoidance technology sensors to survey the hazard field and determine safe landing sites. Morpheus then flew forward and downward covering approximately 1,300 feet while performing a 78-foot divert to simulate a hazard avoidance maneuver. The lander descended and landed on a dedicated pad inside the test field.</t>
  </si>
  <si>
    <t>3Pbl8zR9o5o</t>
  </si>
  <si>
    <t>2014 05 22</t>
  </si>
  <si>
    <t>https://youtu.be/cbmqHg7uW3w</t>
  </si>
  <si>
    <t>Morpheus Makes Free Flight at Kennedy Space Center</t>
  </si>
  <si>
    <t>A free-flight test of the Morpheus prototype lander was conducted May 22 at the Shuttle Landing Facility at NASA's Kennedy Space Center in Florida. The 97-second test began at 2:30 p.m. EDT with the Morpheus lander launching from the ground over a flame trench and ascending more than 800 feet safely touching down after covering approximately 1,300 feet.</t>
  </si>
  <si>
    <t>cbmqHg7uW3w</t>
  </si>
  <si>
    <t>2014 05 21</t>
  </si>
  <si>
    <t>https://youtu.be/K3O1YOf0Nio</t>
  </si>
  <si>
    <t>NASA  Explorers Seek Adventure</t>
  </si>
  <si>
    <t>NASA's Commercial Crew Program is working with aerospace industry partners in new ways to develop spacecraft for low-Earth orbit.</t>
  </si>
  <si>
    <t>K3O1YOf0Nio</t>
  </si>
  <si>
    <t>2014 05 19</t>
  </si>
  <si>
    <t>https://youtu.be/kPj-g4DI-NY</t>
  </si>
  <si>
    <t>Wind Tunnel Tests Dream Chaser Design</t>
  </si>
  <si>
    <t>Engineers used a wind tunnel at NASA's Langley Research Center in Hampton, Virginia, to evaluate the design of Sierra Nevada Corporation's Dream Chaser spacecraft. The Dream Chaser is one of the spacecraft in development in partnership with NASA's Commercial Crew Program to carry humans to destinations in low-Earth orbit. The wind tunnel testing is part of a milestone under the company's Commercial Crew Integrated Capability agreement with NASA.</t>
  </si>
  <si>
    <t>kPj-g4DI-NY</t>
  </si>
  <si>
    <t>2014 04 30</t>
  </si>
  <si>
    <t>https://youtu.be/f_excAMCuuo</t>
  </si>
  <si>
    <t>Morpheus Completes Free Flight Test</t>
  </si>
  <si>
    <t>A free-flight test of the Morpheus prototype lander was conducted April 30 at the Shuttle Landing Facility at NASA's Kennedy Space Center using its recently installed autonomous landing and hazard avoidance technology (ALHAT) sensors.</t>
  </si>
  <si>
    <t>f_excAMCuuo</t>
  </si>
  <si>
    <t>2014 04 24</t>
  </si>
  <si>
    <t>https://youtu.be/SJAEyNmA4LE</t>
  </si>
  <si>
    <t>A free-flight test of the Morpheus prototype lander was conducted April 24 at the Shuttle Landing Facility at NASA's Kennedy Space Center in Florida. The 98-second test began at 3:20 p.m. EDT with the Morpheus lander launching from the ground over a flame trench and ascending more than 800 feet at a peak speed of 36 mph.</t>
  </si>
  <si>
    <t>SJAEyNmA4LE</t>
  </si>
  <si>
    <t>2014 04 22</t>
  </si>
  <si>
    <t>https://youtu.be/MRcmQO69DMg</t>
  </si>
  <si>
    <t>Veggie Will Expand Fresh Food Production on Space Station</t>
  </si>
  <si>
    <t>A plant growth chamber called Veggie was delivered to the International Space Station on the SpaceX-3 resupply mission aboard the Dragon capsule. The Veg-01 plant experiment, containing red lettuce leaf seeds will be activated in Veggie in the space station and growth will be monitored.</t>
  </si>
  <si>
    <t>MRcmQO69DMg</t>
  </si>
  <si>
    <t>2014 04 21</t>
  </si>
  <si>
    <t>https://youtu.be/t4HnpMYCXnM</t>
  </si>
  <si>
    <t>In Their Own Words  Kathy Lueders</t>
  </si>
  <si>
    <t>NASA has selected Kathy Lueders as program manager for the agency's Commercial Crew Program (CCP). Lueders, who has served as acting program manager since October 2013, will help keep the nation's space program on course to launch astronauts from American soil by 2017 aboard spacecraft built by American companies.</t>
  </si>
  <si>
    <t>t4HnpMYCXnM</t>
  </si>
  <si>
    <t>2014 04 18</t>
  </si>
  <si>
    <t>https://youtu.be/Hq6ddp6Kx-U</t>
  </si>
  <si>
    <t>The SpaceX-3 Dragon spacecraft separated from the Falcon rocket as it continues on to the International Space Staton. Liftoff took place at Cape Canaveral Air Force Station's Space Launch Complex 40 at 3:25 p.m. EDT.</t>
  </si>
  <si>
    <t>Hq6ddp6Kx-U</t>
  </si>
  <si>
    <t>https://youtu.be/yi09XN3NaeI</t>
  </si>
  <si>
    <t>Liftoff of SpaceX-3</t>
  </si>
  <si>
    <t>The SpaceX-3 Falcon 9 rocket lifts off from Space Launch Complex 40 at Cape Canaveral Air Force Station carrying a Dragon spacecraft to the International Space Station. Liftoff was at 3:25 p.m. EDT.</t>
  </si>
  <si>
    <t>yi09XN3NaeI</t>
  </si>
  <si>
    <t>https://youtu.be/HN3BWoD7uEk</t>
  </si>
  <si>
    <t>HN3BWoD7uEk</t>
  </si>
  <si>
    <t>https://youtu.be/tjDb_ZTsc44</t>
  </si>
  <si>
    <t>SpaceX-3 Countdown Underway</t>
  </si>
  <si>
    <t>tjDb_ZTsc44</t>
  </si>
  <si>
    <t>2014 04 14</t>
  </si>
  <si>
    <t>https://youtu.be/oy2nHvDDssY</t>
  </si>
  <si>
    <t>SpaceX-3 Launch Postponed</t>
  </si>
  <si>
    <t>The SpaceX-3 launch to the International Space Station was scrubbed April 14, 2014 due to a helium leak on the Falcon 9 first stage. The next launch opportunity would be Friday, April 18 at 3:25pm EDT if the issue can be resolved.</t>
  </si>
  <si>
    <t>oy2nHvDDssY</t>
  </si>
  <si>
    <t>2014 04 10</t>
  </si>
  <si>
    <t>https://youtu.be/TYMFiziNKOo</t>
  </si>
  <si>
    <t>GSDO  Exploration Begins Here</t>
  </si>
  <si>
    <t>NASA's Ground Systems Development and Operations Program is developing the technologies and innovations to launch the next generation of rockets and spacecraft.</t>
  </si>
  <si>
    <t>TYMFiziNKOo</t>
  </si>
  <si>
    <t>2014 04 02</t>
  </si>
  <si>
    <t>https://youtu.be/QMtUQLPcDK4</t>
  </si>
  <si>
    <t>Morpheus Completes 8th Free Flight</t>
  </si>
  <si>
    <t>NASA's prototype lander Morpheus successfully completed its 8th free flight at Kennedy Space Center in Florida on Wednesday, April 2. The lander, fueled by methane and oxygen, both considered "green" propellants, does not carry a crew, but is autonomously controlled and carries its own hazard avoidance system (ALHAT) to pick out safe landing spots. The craft ascended more than 800 feet before moving forward 1300 feet while its ALHAT sensors located safe sites for landing. In future flights ALHAT will take over and land Morpheus. The flight lasted about 96 seconds and continues the Johnson Space Center-based team's steady progress through the Morpheus test flight campaign."</t>
  </si>
  <si>
    <t>QMtUQLPcDK4</t>
  </si>
  <si>
    <t>2014 04 01</t>
  </si>
  <si>
    <t>https://youtu.be/M_MTuY8a-lI</t>
  </si>
  <si>
    <t>NASA Tests Satellite Refueling Technology</t>
  </si>
  <si>
    <t>A team at NASA's Kennedy Space Center, collaborating with counterparts at the Goddard Space Flight Center, recently demonstrated groundbreaking technology that could add years of service to Earth orbiting satellites.</t>
  </si>
  <si>
    <t>M_MTuY8a-lI</t>
  </si>
  <si>
    <t>2014 03 27</t>
  </si>
  <si>
    <t>https://youtu.be/Pi48DhfenFg</t>
  </si>
  <si>
    <t>Morpheus Completes Tethered Flight With Test of Hazard Avoidance System</t>
  </si>
  <si>
    <t>The Morpheus lander tried out a sophisticated hazard avoidance system March 27 during a flight test conducted with the unmanned lander suspended from a crane on a tether on the north end of the Shuttle Landing Facility at NASA's Kennedy Space Center in Florida. The prototype lander has completed several free flight tests showing it could control itself through a takeoff, flight and landing. This test was performed to verify the lander's recently installed autonomous landing and hazard avoidance technology (ALHAT) sensors and integration systems would operate as planned. With the system confirmed, mission planners will begin working toward a free flight with Morpheus using the ALHAT system to steer past a field of boulders to a safe landing area in a test field.</t>
  </si>
  <si>
    <t>Pi48DhfenFg</t>
  </si>
  <si>
    <t>https://youtu.be/LlFNnNQ4vQI</t>
  </si>
  <si>
    <t>Robots Show Off Skills at Robot Rocket Rally</t>
  </si>
  <si>
    <t>Kids and adults came face-to-face with cutting-edge robotics at the Robot Rocket Rally, a three-day event hosted by Florida's Kennedy Space Center Visitor Complex. NASA, universities, high schools and private industry demonstrated several exciting robotic technologies to encourage kids to pursue careers in science, technology, engineering and math.</t>
  </si>
  <si>
    <t>LlFNnNQ4vQI</t>
  </si>
  <si>
    <t>https://youtu.be/yd_Bg7K6Jt0</t>
  </si>
  <si>
    <t>NASA's Ground Systems Development and Operations Program Completes Preliminary Design Review</t>
  </si>
  <si>
    <t>NASA achieved a major milestone this month in its effort to transform the agency's Kennedy Space Center in Florida into a multi-user spaceport by successfully completing the initial design and technology development phase for the Ground Systems Development and Operations (GSDO) Program. 
The major program milestone on March 20, called the Preliminary Design Review, provided an assessment of the initial designs for infrastructure at Kennedy and allowed development of the ground systems to proceed toward detailed design. The thorough review has validated the baseline architecture is sound and aligns with the agency's exploration objectives.</t>
  </si>
  <si>
    <t>yd_Bg7K6Jt0</t>
  </si>
  <si>
    <t>2014 03 11</t>
  </si>
  <si>
    <t>https://youtu.be/Iq1YAMMT5_g</t>
  </si>
  <si>
    <t>Morpheus Completes March 11 Free Flight</t>
  </si>
  <si>
    <t>The Morpheus prototype lander conducted a successful free-flight test March 11 that saw it make its fastest and highest ascent, reaching an altitude of 580 feet. Performed at the Shuttle Landing Facility at NASA's Kennedy Space Center in Florida, the 83-second test began at 3:41 p.m. EDT with the Morpheus lander launching from the ground over a flame trench and landing in a specially designed area 837 feet away.</t>
  </si>
  <si>
    <t>Iq1YAMMT5_g</t>
  </si>
  <si>
    <t>2014 03 06</t>
  </si>
  <si>
    <t>https://youtu.be/I27EeRRkjPk</t>
  </si>
  <si>
    <t>Model Arrives for Wind Tunnel Testing By Boeing</t>
  </si>
  <si>
    <t>A scale model of Boeing's CST-100 spacecraft arrived at NASA's Langley Research Center in Hampton, Va., for wind tunnel tests.The test series will evaluate the design developed by Boeing in partnership with NASA's Commercial Crew Program (CCP).</t>
  </si>
  <si>
    <t>I27EeRRkjPk</t>
  </si>
  <si>
    <t>2014 03 05</t>
  </si>
  <si>
    <t>https://youtu.be/1zuOCvuA27Y</t>
  </si>
  <si>
    <t>Morpheus Completes Sixth Free Flight Test</t>
  </si>
  <si>
    <t>A free flight test of a Morpheus prototype lander was conducted today at NASA Kennedy Space Center's Shuttle Landing Facility. The 82-second test began at 11:32 a.m. EST with the Morpheus lander launching from the ground over a flame trench and ascending to 465 feet. Morpheus then flew forward, covering 633 feet while performing a 55-foot divert to emulate a hazard avoidance maneuver. The lander then descended and landed on a dedicated pad inside the automated landing and hazard avoidance technology (ALHAT) hazard field. Morpheus landed 10 inches west of its intended target.</t>
  </si>
  <si>
    <t>1zuOCvuA27Y</t>
  </si>
  <si>
    <t>2014 03 04</t>
  </si>
  <si>
    <t>https://youtu.be/tFTE8qDbXfs</t>
  </si>
  <si>
    <t>Jaws of Life Training at Kennedy Space Center</t>
  </si>
  <si>
    <t>Kennedy Space Center's Special Rescue Operations Firefighters practice vehicle and machinery extrication using the Jaws of Life and other rescue tools during a rescue simulation at a facility near the center.</t>
  </si>
  <si>
    <t>tFTE8qDbXfs</t>
  </si>
  <si>
    <t>2014 02 28</t>
  </si>
  <si>
    <t>https://youtu.be/odh08oKhpjk</t>
  </si>
  <si>
    <t>Boeing Completes Pilot-in-the-Loop Milestone</t>
  </si>
  <si>
    <t>Former astronaut Chris Ferguson of The Boeing Company demonstrated that the CST-100 spacecraft simulator and software allows a human pilot to take over control of the spacecraft from the computer during various phases of a mission following separation from the launch vehicle. The pilot-in-the-loop demonstration at the Houston Product Support Center on Jan. 16, 2014 was a milestone under Boeing's Commercial Crew Integrated Capability agreement with the agency and its Commercial Crew Program.</t>
  </si>
  <si>
    <t>odh08oKhpjk</t>
  </si>
  <si>
    <t>2014 02 19</t>
  </si>
  <si>
    <t>https://youtu.be/qud4SIDRv-8</t>
  </si>
  <si>
    <t>Telemetry Solution Preserves TDRS-L Launch</t>
  </si>
  <si>
    <t>A telemetry problem threatened to stop the Jan. 23, 2014 liftoff of a United Launch Alliance Atlas V rocket carrying NASA's newest Tracking and Data Relay Satellite, TDRS-L. Quick-thinking engineers with NASA's Launch Services Program and QinetiQ North America came up with a solution that kept liftoff on track.</t>
  </si>
  <si>
    <t>qud4SIDRv-8</t>
  </si>
  <si>
    <t>2014 02 10</t>
  </si>
  <si>
    <t>https://youtu.be/Abx1uTNiloo</t>
  </si>
  <si>
    <t>Morpheus Completes Fifth Free-Flight</t>
  </si>
  <si>
    <t>The fifth free-flight test of a Morpheus prototype lander was conducted Feb. 10, 2014, at NASA Kennedy Space Center's Shuttle Landing Facility. The 74-second test began around 1 p.m. EST with the Morpheus lander launching from the ground over a flame trench and ascending at 42 feet per second to 467 feet, more than 160 feet higher than its last test. Morpheus then flew forward, covering 637 feet in 30 seconds before descending and landing on a dedicated pad inside the automated landing and hazard avoidance technology (ALHAT) hazard field. Morpheus landed on target. There is one more test planned before the ALHAT system is installed on the vehicle, but the date of that flight has not yet been set. Morpheus tests NASA's automated landing and hazard avoidance technology and an engine that runs on liquid oxygen and methane, or "green" propellants.</t>
  </si>
  <si>
    <t>Abx1uTNiloo</t>
  </si>
  <si>
    <t>https://youtu.be/B-1cEoOvbnk</t>
  </si>
  <si>
    <t>Kennedy NOW! January 2014</t>
  </si>
  <si>
    <t>From the launch of NASA's TDRS-L spacecraft to successful test flights of the Morpheus lander and continued progress in commercial spacecraft development, January saw plenty of action at NASA's Kennedy Space Center in Florida.</t>
  </si>
  <si>
    <t>B-1cEoOvbnk</t>
  </si>
  <si>
    <t>2014 01 24</t>
  </si>
  <si>
    <t>https://youtu.be/MiJJRK4DSEw</t>
  </si>
  <si>
    <t>NASA Launch Director Comments on TDRS-L Liftoff</t>
  </si>
  <si>
    <t>NASA Launch Director Tim Dunn and George Diller of Kennedy Space Center Public Affairs, discuss the liftoff of the agency's Tracking and Data Relay Satellite, or TDRS-L, spacecraft atop a United Launch Alliance Atlas V rocket.</t>
  </si>
  <si>
    <t>MiJJRK4DSEw</t>
  </si>
  <si>
    <t>https://youtu.be/t0OhynA7JrQ</t>
  </si>
  <si>
    <t>TDRS-L Spacecraft Separation</t>
  </si>
  <si>
    <t>One hour, 46 minutes after launch, NASA's Tracking and Data Relay Satellite, or TDRS-L, spacecraft separated from its Centaur upper stage. Liftoff of the United Launch Alliance Atlas V rocket took place at Cape Canaveral Air Force Station's Space Launch Complex 41 at 9:33 p.m. EST.</t>
  </si>
  <si>
    <t>t0OhynA7JrQ</t>
  </si>
  <si>
    <t>https://youtu.be/QLn5LjS9cew</t>
  </si>
  <si>
    <t>TDRS-L Ready for Launch</t>
  </si>
  <si>
    <t>In the Launch Control Center at Cape Canaveral Air Force Station in Florida, agency and contractor managers and engineers monitor progress in the countdown to launch NASA's Tracking and Data Relay Satellite, or TDRS-L, spacecraft atop an Atlas V rocket.</t>
  </si>
  <si>
    <t>QLn5LjS9cew</t>
  </si>
  <si>
    <t>https://youtu.be/7GpM_sGTfyA</t>
  </si>
  <si>
    <t>Liftoff of TDRS-L</t>
  </si>
  <si>
    <t>The United Launch Alliance Atlas V rocket lifts off from Space Launch Complex 41 at Cape Canaveral Air Force Station carrying NASA's Tracking and Data Relay Satellite, or TDRS-L, spacecraft to Earth orbit. Liftoff was at 9:33 p.m. EST.</t>
  </si>
  <si>
    <t>7GpM_sGTfyA</t>
  </si>
  <si>
    <t>2014 01 23</t>
  </si>
  <si>
    <t>https://youtu.be/09oB0mRKTFk</t>
  </si>
  <si>
    <t>TDRS-L Countdown Underway</t>
  </si>
  <si>
    <t>At Cape Canaveral Air Force Station's Space Launch Complex 41, a United Launch Alliance Atlas V rocket stands ready to boost NASA's Tracking and Data Relay Satellite, or TDRS-L, spacecraft to Earth orbit.</t>
  </si>
  <si>
    <t>09oB0mRKTFk</t>
  </si>
  <si>
    <t>2014 01 22</t>
  </si>
  <si>
    <t>https://youtu.be/4Mm2BFBw1cY</t>
  </si>
  <si>
    <t>TDRS-L Rolls to the Launch Pad</t>
  </si>
  <si>
    <t>NASA's Tracking and Data Relay Satellite, or TDRS-L, spacecraft, mounted atop a United Launch Alliance Atlas V rocket, rolls out from Cape Canaveral Air Force Station's Vertical Integration Facility to the pad at Space Launch Complex 41.</t>
  </si>
  <si>
    <t>4Mm2BFBw1cY</t>
  </si>
  <si>
    <t>2014 01 21</t>
  </si>
  <si>
    <t>https://youtu.be/jCJPiQlgz9Q</t>
  </si>
  <si>
    <t>Morpheus Completes 64-second Free Flight</t>
  </si>
  <si>
    <t>A free flight test of a Morpheus prototype lander was conducted Jan. 21 at the Shuttle Landing Facility at NASA's Kennedy Space Center in Florida. The 64-second test began at 1:15 p.m. EST with the Morpheus lander launching from the ground over a flame trench and ascending about 305 feet, significantly increasing the ascent velocity from the last test. Morpheus then flew forward, covering about 358 feet in 25 seconds before descending and landing on a dedicated pad inside the automated landing and hazard avoidance technology (ALHAT) hazard field. Morpheus landed within 15 inches of its target.
For more information, visit http://www.nasa.gov/centers/johnson/exploration/morpheus</t>
  </si>
  <si>
    <t>jCJPiQlgz9Q</t>
  </si>
  <si>
    <t>https://youtu.be/jbo_-Ljwvlk</t>
  </si>
  <si>
    <t>TDRS-L Prepares to Take Its Place in NASA Constellation</t>
  </si>
  <si>
    <t>NASA is poised to launch the TDRS-L spacecraft to geosynchronous orbit where it will play a vital role in communicating with Earth-orbiting spacecraft including the International Space Station and NASA's Hubble Space Telescope and other scientific observatories.</t>
  </si>
  <si>
    <t>jbo_-Ljwvlk</t>
  </si>
  <si>
    <t>https://youtu.be/KXpwVgCBaKA</t>
  </si>
  <si>
    <t>TDRS-L and Atlas V Readied for Liftoff</t>
  </si>
  <si>
    <t>Find out how NASA's Tracking and Data Relay Satellite L and its ride into orbit, the United Launch Alliance Atlas V rocket, were prepared for liftoff.</t>
  </si>
  <si>
    <t>KXpwVgCBaKA</t>
  </si>
  <si>
    <t>2014 01 17</t>
  </si>
  <si>
    <t>https://youtu.be/Z6Kp6MMl0HQ</t>
  </si>
  <si>
    <t>SpaceX Conducts Dragon Parachute Test</t>
  </si>
  <si>
    <t>NASA Commercial Crew Program partner Space Exploration Technologies, or SpaceX, conducted a drop test of a Dragon test article in December. The capsule splashed down in the Pacific Ocean off the coast of Morro Bay, Calif. The drop test enabled SpaceX engineers to evaluate the spacecraft's parachute deployment system as part of a milestone under its Commercial Crew Integrated Capability agreement with NASA's Commercial Crew Program.</t>
  </si>
  <si>
    <t>Z6Kp6MMl0HQ</t>
  </si>
  <si>
    <t>2014 01 16</t>
  </si>
  <si>
    <t>https://youtu.be/WZZeMOYk1ac</t>
  </si>
  <si>
    <t>Morpheus Third Free Flight Test at Kennedy Space Center</t>
  </si>
  <si>
    <t>The third free flight of a Morpheus prototype lander was conducted Jan. 16, 2014 at the north end of the Shuttle Landing Facility at NASA's Kennedy Space Center in Florida. The 57-second test began at 1:15 p.m. EST with the Morpheus lander launching from the ground over a flame trench and ascending about 187 feet. The lander then flew forward, covering about 154 feet in 20 seconds before descending and landing on a dedicated landing pad inside the autonomous landing and hazard avoidance technology (ALHAT) hazard field. Morpheus landed within 11 inches of its target. Project Morpheus tests NASA automated landing and hazard avoidance technology and an engine that runs on liquid oxygen and methane, or "green" propellants. These new capabilities could be used in future efforts to deliver cargo to planetary surfaces. For more information, visit http://www.nasa.gov/centers/johnson/exploration/morpheus.</t>
  </si>
  <si>
    <t>WZZeMOYk1ac</t>
  </si>
  <si>
    <t>2014 01 14</t>
  </si>
  <si>
    <t>https://youtu.be/dMrlv-YAjTs</t>
  </si>
  <si>
    <t>Partners Mature Spacecraft Designs</t>
  </si>
  <si>
    <t>NASA's Commercial Crew Program and its aerospace partners are putting in the time and energy to make the innovations needed to power America's next generation of human spacecraft destined to launch from American soil to low-Earth orbit. Through Space Act Agreements with the program, Blue Origin, Boeing, Sierra Nevada Corporation and SpaceX are achieving milestones, moving the country closer to domestic crewed access to space.</t>
  </si>
  <si>
    <t>dMrlv-YAjTs</t>
  </si>
  <si>
    <t>2013 12 20</t>
  </si>
  <si>
    <t>https://youtu.be/l8IIGIY5Ps8</t>
  </si>
  <si>
    <t xml:space="preserve">MIST Experiment Soars on  Cloud Lab </t>
  </si>
  <si>
    <t>The Microorganisms in the Stratosphere, or MIST, experiment flew over Kennedy Space Center aboard a "Cloud Lab."</t>
  </si>
  <si>
    <t>l8IIGIY5Ps8</t>
  </si>
  <si>
    <t>2013 12 19</t>
  </si>
  <si>
    <t>https://youtu.be/VBgGpkesHQo</t>
  </si>
  <si>
    <t>SMASH Alloys to Improve Aerospace Safety Margins</t>
  </si>
  <si>
    <t>Future spacecraft landing on distant planets may have improved margins of safety due to innovative metal alloys being developed at NASA's Kennedy Space Center.</t>
  </si>
  <si>
    <t>VBgGpkesHQo</t>
  </si>
  <si>
    <t>2013 12 17</t>
  </si>
  <si>
    <t>https://youtu.be/nVvvL2UW5Ko</t>
  </si>
  <si>
    <t>Morpheus Second Free Flight Test at Kennedy Space Center</t>
  </si>
  <si>
    <t>The second free flight of a Morpheus prototype lander was conducted Dec. 17, 2013 at the north end of the Shuttle Landing Facility at NASA's Kennedy Space Center in Florida. The 81-second test began at 1:37 p.m. EST with the Morpheus lander launching from the ground over a flame trench and ascending about 164 feet, pausing briefly at 82 feet. The lander then flew forward, covering about 154 feet in 30 seconds before descending and landing on a dedicated landing pad inside the autonomous landing and hazard avoidance technology (ALHAT) hazard field. Morpheus landed within 3.5 inches of its target. Project Morpheus tests NASA automated landing and hazard avoidance technology and an engine that runs on liquid oxygen and methane, or "green" propellants. These new capabilities could be used in future efforts to deliver cargo to planetary surfaces. For more information, visit http://www.nasa.gov/centers/johnson/exploration/morpheus.</t>
  </si>
  <si>
    <t>nVvvL2UW5Ko</t>
  </si>
  <si>
    <t>2013 12 13</t>
  </si>
  <si>
    <t>https://youtu.be/smq3lIOfFog</t>
  </si>
  <si>
    <t>Kennedy Now! December 2013</t>
  </si>
  <si>
    <t>NASA launched the MAVEN mission Nov. 18 and got to work preparing for the launch in January of the TDRS-L communications satellite. The Orion spacecraft also is being readied at Kennedy for launch next year on a unique test flight. The agency's Commercial Crew Program continues its steady pace in partnerships with aerosapce industry to develop a private transportation system to low Earth orbit destinations.</t>
  </si>
  <si>
    <t>smq3lIOfFog</t>
  </si>
  <si>
    <t>2013 12 10</t>
  </si>
  <si>
    <t>https://youtu.be/73I3TLaXAH8</t>
  </si>
  <si>
    <t>The International Space Station Celebrates 15 Years</t>
  </si>
  <si>
    <t>Bob Cabana, director of NASA's Kennedy Space Center in Florida, looks back at space shuttle mission STS-88, the first International Space Station assembly flight. Cabana commanded the mission, which joined the American Unity node to the Russian Zarya functional cargo block to create the space station.</t>
  </si>
  <si>
    <t>73I3TLaXAH8</t>
  </si>
  <si>
    <t>https://youtu.be/RlbTx4fo5Tw</t>
  </si>
  <si>
    <t>Morpheus Flies Free in Kennedy Test</t>
  </si>
  <si>
    <t>The first free flight of a Morpheus prototype lander was conducted Dec. 10, 2013, at Kennedy Space Center's Shuttle Landing Facility. The 54-second test began with the Morpheus lander launching from the ground over a flame trench and ascending approximately 50 feet, then hovering for about 15 seconds. The lander then flew forward and landed on its pad about 23 feet from the launch point.  
Project Morpheus integrates NASA's automated landing and hazard avoidance technology (ALHAT) with an engine that runs on liquid oxygen and methane, or "green" propellants, into a fully operational lander that could deliver cargo to asteroids and other planetary surfaces. Morpheus and ALHAT are examples of the partnerships that exist within the agency since seven of the 10 NASA centers have contributed time, energy and resources to both. For more information, visit http://www.nasa.gov/centers/johnson/exploration/morpheus.</t>
  </si>
  <si>
    <t>RlbTx4fo5Tw</t>
  </si>
  <si>
    <t>2013 12 03</t>
  </si>
  <si>
    <t>https://youtu.be/T5Xbhw8M5rU</t>
  </si>
  <si>
    <t>Blue Origin Test-Fires New BE-3 Engine</t>
  </si>
  <si>
    <t>Blue Origin recently performed a test of its BE-3 rocket engine as part of the company's Commercial Crew Development Round 2 initiative with NASA's Commercial Crew Program (CCP). Blue Origin test fired the powerful new hydrogen- and oxygen-fueled American rocket engine Nov. 20. During the test, the BE-3 engine ramped up to full power and fired for more than two minutes to simulate a launch, then paused for about four minutes, mimicking a coast through space before it re-ignited for a brief final burn. The last phase of the test covered the work the engine performs in landing the booster back softly on Earth. Blue Origin's Orbital Launch Vehicle will use the BE-3 engine to launch the company's Space Vehicle into orbit to transport crew and cargo to low-Earth orbit.
CCP is aiding in the innovation and development of American-led commercial capabilities for crew transportation and rescue services to and from the station and other low-Earth orbit destinations by the end of 2017. For information about CCP, visit www.nasa.gov/commercialcrew.</t>
  </si>
  <si>
    <t>T5Xbhw8M5rU</t>
  </si>
  <si>
    <t>2013 11 25</t>
  </si>
  <si>
    <t>https://youtu.be/awY3-pRsfQc</t>
  </si>
  <si>
    <t>KSC Fire Rescue Aerial Training</t>
  </si>
  <si>
    <t>NASA Kennedy Space Center's Fire Rescue Services has achieved Pro Board Accreditation in aerial fire truck operations and training.</t>
  </si>
  <si>
    <t>awY3-pRsfQc</t>
  </si>
  <si>
    <t>2013 11 21</t>
  </si>
  <si>
    <t>https://youtu.be/xV5sk6Zkt24</t>
  </si>
  <si>
    <t>International Space Station at 15  First Construction</t>
  </si>
  <si>
    <t>Space shuttle Endeavour flew the first construction mission for the International Space Station in December 1998, with Bob Cabana in command. Carrying the Unity node, Endeavour and its crew of astronauts and cosmonaut Sergei Krikalev rendezvoused with the Russian-made Zarya module in orbit and connected the two together to form the cornerstone of a structure that would grow to dwarf all other spacecraft and space stations. Fifteen years later, the orbiting laboratory has hosted dozens of astronauts and cosmonauts from all over the world to fulfill its mission of providing a permanent human presence in obit.</t>
  </si>
  <si>
    <t>xV5sk6Zkt24</t>
  </si>
  <si>
    <t>2013 11 18</t>
  </si>
  <si>
    <t>https://youtu.be/L3G-HScAJuY</t>
  </si>
  <si>
    <t>NASA Administrator Congratulates MAVEN Launch Team</t>
  </si>
  <si>
    <t>Following liftoff of the Mars Atmosphere and Volatile Evolution, or MAVEN, spacecraft from Cape Canaveral Air Force Station, NASA Administrator Charles Bolden congratulated the agency and contractor launch team. (Note: Not optimum sound quality.)</t>
  </si>
  <si>
    <t>L3G-HScAJuY</t>
  </si>
  <si>
    <t>https://youtu.be/OeznNgnBkTY</t>
  </si>
  <si>
    <t>NASA Manager Discusses MAVEN Launch</t>
  </si>
  <si>
    <t>Following liftoff from Cape Canaveral Air Force Station's Space Launch Complex 41, the Mars Atmosphere and Volatile Evolution, or MAVEN, spacecraft is on its way to the Red Planet. NASA officials discuss the launch and the mission.</t>
  </si>
  <si>
    <t>OeznNgnBkTY</t>
  </si>
  <si>
    <t>https://youtu.be/v3cBQtxde_0</t>
  </si>
  <si>
    <t>MAVEN Separates from Centaur Upper Stage</t>
  </si>
  <si>
    <t>Following liftoff at Cape Canaveral Air Force Station's Space Launch Complex 41, the Mars Atmosphere and Volatile Evolution, or MAVEN, spacecraft separates from the Centaur upper stage as it begins a 10-month journey to explore the Red Planet's climate history.</t>
  </si>
  <si>
    <t>v3cBQtxde_0</t>
  </si>
  <si>
    <t>https://youtu.be/rh_nyFIwPy0</t>
  </si>
  <si>
    <t>Liftoff of MAVEN</t>
  </si>
  <si>
    <t>An Atlas V rocket lifts off at Cape Canaveral Air Force Station's Space Launch Complex 41.The mission is to send the Mars Atmosphere and Volatile Evolution, or MAVEN, spacecraft on a 10-month journey to explore the Red Planet's climate history.</t>
  </si>
  <si>
    <t>rh_nyFIwPy0</t>
  </si>
  <si>
    <t>https://youtu.be/o9-YQS_Sfb4</t>
  </si>
  <si>
    <t>MAVEN Ready for Launch</t>
  </si>
  <si>
    <t>NASA managers poll the launch team to ensure all is ready for the liftoff of an Atlas V at Cape Canaveral Air Force Station's Space Launch Complex 41.The mission is to boost the Mars Atmosphere and Volatile Evolution, or MAVEN, spacecraft on a 10-month journey to explore the Red Planet's climate history.</t>
  </si>
  <si>
    <t>o9-YQS_Sfb4</t>
  </si>
  <si>
    <t>https://youtu.be/fOroyQc0tGQ</t>
  </si>
  <si>
    <t>The MAVEN Countdown is Underway</t>
  </si>
  <si>
    <t>An Atlas V rocket is being prepared for liftoff at Cape Canaveral Air Force Station's Space Launch Complex 41.The mission is to boost the Mars Atmosphere and Volatile Evolution, or MAVEN, spacecraft on a 10-month journey to explore the Red Planet's climate history.</t>
  </si>
  <si>
    <t>fOroyQc0tGQ</t>
  </si>
  <si>
    <t>2013 11 16</t>
  </si>
  <si>
    <t>https://youtu.be/g0lxTh2EBY8</t>
  </si>
  <si>
    <t>MAVEN Rolls to the Launch Pad</t>
  </si>
  <si>
    <t>NASA's Mars Atmosphere and Volatile EvolutioN, or MAVEN, spacecraft, mounted atop a United Launch Alliance Atlas V rocket, rolls out from Cape Canaveral Air Force Station's Vertical Integration Facility to the pad at Space Launch Complex 41.</t>
  </si>
  <si>
    <t>g0lxTh2EBY8</t>
  </si>
  <si>
    <t>2013 11 15</t>
  </si>
  <si>
    <t>https://youtu.be/Z4MXuw7-8ow</t>
  </si>
  <si>
    <t>MAVEN Processing in Minutes</t>
  </si>
  <si>
    <t>NASA's Mars Atmosphere and Volatile Evolution, or MAVEN, spacecraft went through weeks of processing to ensure it was ready for a 10-month trip to the Red Planet. Watch as time-lapse video condenses that to mere minutes.</t>
  </si>
  <si>
    <t>Z4MXuw7-8ow</t>
  </si>
  <si>
    <t>2013 11 14</t>
  </si>
  <si>
    <t>https://youtu.be/MYhteEVgOEI</t>
  </si>
  <si>
    <t>MAVEN to Explore Upper Atmosphere of Mars</t>
  </si>
  <si>
    <t>MAVEN, which stands for Mars Atmosphere and Volatile Evolution, is a new NASA spacecraft embarking on a mission to study Mars' upper atmosphere, seeking to learn how the atmosphere and environment changed over time. Mars is a barren planet of extreme temperatures and the thinnest of atmospheres, and an environment too hostile to sustain even microbial life. But evidence from past missions to the Red Planet show evidence of an ancient, watery world. Now scientists seek to understand what could have caused such a dramatic change.</t>
  </si>
  <si>
    <t>MYhteEVgOEI</t>
  </si>
  <si>
    <t>2013 11 13</t>
  </si>
  <si>
    <t>https://youtu.be/_RcVzckESsM</t>
  </si>
  <si>
    <t>NASA's MAVEN Prepared for Trip to Mars</t>
  </si>
  <si>
    <t>NASA is preparing to launch a spacecraft to study the upper atmosphere of the planet Mars. It's called MAVEN or the Mars Atmosphere and Volatile EvolutioN.</t>
  </si>
  <si>
    <t>_RcVzckESsM</t>
  </si>
  <si>
    <t>2013 09 23</t>
  </si>
  <si>
    <t>https://youtu.be/_InEufePaBE</t>
  </si>
  <si>
    <t>Langley Tests Dream Chaser's Thermal Dynamics</t>
  </si>
  <si>
    <t>NASA's Langley Research Center in Hampton, Va., conducted hypersonic testing of Dream Chaser models for Sierra Nevada Corporation (SNC) to obtain necessary data for the material selection and design of the spacecraft's thermal protection system (TPS). The wind tunnel tests are meant to reduce risk and improve the reliability of the Dream Chaser TPS during SNC's agreements with NASA's Commercial Crew Program (CCP) during the Commercial Crew Integrated Capability (CCiCap) initiative.</t>
  </si>
  <si>
    <t>_InEufePaBE</t>
  </si>
  <si>
    <t>2013 09 19</t>
  </si>
  <si>
    <t>https://youtu.be/etOz_y2R25c</t>
  </si>
  <si>
    <t>Kennedy NOW! August 2013</t>
  </si>
  <si>
    <t>The MAVEN spacecraft arrived at NASA's Kennedy Space Center in August to begin launch preparations. The Ground Systems Development and Operations Program rehearsed recovery operations for Orion missions and the Commercial Crew Program worked with partner Sierra Nevada in testing the company's Dream Chaser.</t>
  </si>
  <si>
    <t>etOz_y2R25c</t>
  </si>
  <si>
    <t>2013 09 16</t>
  </si>
  <si>
    <t>https://youtu.be/EUXG4xwLnBQ</t>
  </si>
  <si>
    <t>CCP Initiative At Four  Working Toward Space</t>
  </si>
  <si>
    <t>NASA's Commercial Crew Program is four years old and continues to build momentum toward space. After beginning with artist concepts and designs, spacecraft developers now are testing full-size models and taking steps to qualify sub-systems. The agency's astronauts are practicing launches and landings in simulators to iron out the details in critical software. The Commercial Crew Program's progress so far is the result of diligent and relentless efforts to reshape America's human spaceflight program. Spacecraft developed by Commercial Crew Program partners will be the safest, most reliable and cost-effective transportation systems to and from low-Earth orbit and the International Space Station. NASA and the Commercial Crew Program stand on a path leading to launch from American soil in 2017.</t>
  </si>
  <si>
    <t>EUXG4xwLnBQ</t>
  </si>
  <si>
    <t>2013 08 29</t>
  </si>
  <si>
    <t>https://youtu.be/K_dgqsS9a7U</t>
  </si>
  <si>
    <t>SNC Dream Chaser Captive-Carry Test August 2013</t>
  </si>
  <si>
    <t>The Sierra Nevada Corporation (SNC) Dream Chaser was hoisted high above the dry lakebed at Edwards Air Force Base in California on Aug. 22 by a helicopter to rehearse for a series of upcoming test flights that could see the winged lifting body glide on its own for the first time. The Dream Chaser is being developed in partnership with NASA's Commercial Crew Program to carry people to and from low-Earth orbit. 
Dream Chaser was lifted about 12,400 feet above the Mojave Desert by an Erickson Air-Crane before tracing the projected 3-mile-long glide slope the craft is to follow during free-flight glide tests. The two-hour flight, which involved NASA's Dryden Flight Research Center adjacent to Edwards, helped verify communication and navigation performance. Dream Chaser's flight computer, along with its guidance, navigation and control systems were tested. The landing gear and nose skid also were deployed during flight.</t>
  </si>
  <si>
    <t>K_dgqsS9a7U</t>
  </si>
  <si>
    <t>2013 08 21</t>
  </si>
  <si>
    <t>https://youtu.be/SprUqLGLgTI</t>
  </si>
  <si>
    <t>In Their Own Words  Commercial Crew's Henry May</t>
  </si>
  <si>
    <t>Long-time Kennedy Space Center employee Henry May explains how he's working with commercial aerospace industry partners to safely transport NASA astronauts to and from the International Space Station, launching from U.S. soil.</t>
  </si>
  <si>
    <t>SprUqLGLgTI</t>
  </si>
  <si>
    <t>2013 08 20</t>
  </si>
  <si>
    <t>https://youtu.be/3Yr52YDEp3k</t>
  </si>
  <si>
    <t>Inside GSDO  The Vehicle Integration and Launch Team</t>
  </si>
  <si>
    <t>Today, engineers, designers and technicians are re-inventing what it takes to operate a space program with multiple goals and many new machines capable of carrying them out. 
At Kennedy Space Center, an effort called the Ground Systems Development and Operations Program focuses on updating the agency's infrastructure to host the future of rocketry and spaceflight.
Every day, engineers and designers who specialize in aerospace are creating, testing and putting into place the hardware necessary to assemble, transport and launch the next generation of rockets and spacecraft.</t>
  </si>
  <si>
    <t>3Yr52YDEp3k</t>
  </si>
  <si>
    <t>2013 08 16</t>
  </si>
  <si>
    <t>https://youtu.be/eXXbWxNlIlM</t>
  </si>
  <si>
    <t>Kennedy NOW! July 2013</t>
  </si>
  <si>
    <t>Kennedy Space Center's Launch Complex 39B receives a makeover for future launches. NASA Commercial Crew Program partner Boeing unveiled a mock-up of its CST-100 spacecraft in Houston. Engineer and managers involved in the Rocket University program successfully recovered an experiment to study conditions in the atmosphere near space.</t>
  </si>
  <si>
    <t>eXXbWxNlIlM</t>
  </si>
  <si>
    <t>https://youtu.be/yOIQwkp4Dpc</t>
  </si>
  <si>
    <t>CCP  Charting New Adventures, Seeking New Ships</t>
  </si>
  <si>
    <t>NASA's Commercial Crew Program captures the rich history of human spaceflight and the American spirit as it works with the aerospace industry to chart new adventures and seeks to find safe and cost-effective ships to sail to the International Space Station.</t>
  </si>
  <si>
    <t>yOIQwkp4Dpc</t>
  </si>
  <si>
    <t>2013 08 13</t>
  </si>
  <si>
    <t>https://youtu.be/t4oQW_a7XkA</t>
  </si>
  <si>
    <t>Dream Chaser Rolls Through Ground Tests</t>
  </si>
  <si>
    <t>Sierra Nevada Corporation (SNC) put its Dream Chaser flight vehicle through a series of ground tests at NASA's Dryden Flight Research Center at Edwards Air Force Base, Calif. The 10, 20, 40 and 60 mile per hour range and taxi tow tests along concrete runways are helping the company assess the performance of the winged vehicle's braking and landing systems. SNC's ongoing development work supports its funded Space Act Agreement with NASA's Commercial Crew Program (CCP) during the agency's Commercial Crew Integrated Capability (CCiCap) phase. SNC currently is one of three companies working with NASA during CCiCap to return a national capability to launch astronauts to low-Earth orbit from U.S. soil.</t>
  </si>
  <si>
    <t>t4oQW_a7XkA</t>
  </si>
  <si>
    <t>https://youtu.be/0gAlpL25Rn4</t>
  </si>
  <si>
    <t>Developing Partnerships, Launching Dreams at Kennedy</t>
  </si>
  <si>
    <t>After 50 years in the space business, NASA's Kennedy Space Center has a proven record of accomplishment.</t>
  </si>
  <si>
    <t>0gAlpL25Rn4</t>
  </si>
  <si>
    <t>2013 07 31</t>
  </si>
  <si>
    <t>https://youtu.be/ESAwzJklEvM</t>
  </si>
  <si>
    <t>Engineers Test CST-100 Water Recovery Techniques</t>
  </si>
  <si>
    <t>The Boeing Company evaluated tools, equipment and procedures it could use if the CST-100 spacecraft is required to make a water landing. The testing included a full-scale mockup of the spacecraft floating in a specialized facility operated by Bigelow Aerospace near Las Vegas. The CST-100 is one of three spacecraft under development in partnership with NASA's Commercial Crew Program. The others are the SpaceX Dragon and Sierra Nevada Corporation Dream Chaser.</t>
  </si>
  <si>
    <t>ESAwzJklEvM</t>
  </si>
  <si>
    <t>2013 07 22</t>
  </si>
  <si>
    <t>https://youtu.be/VdQfdKkr46U</t>
  </si>
  <si>
    <t>Boeing's CST-100 Unveiled to the World</t>
  </si>
  <si>
    <t>NASA astronauts Serena Aunon and Randy Bresnik conducted flight suit evaluations inside a fully outfitted test version of The Boeing Company's CST-100 spacecraft July 22, the first time the world got a glimpse of the crew capsule's interior. Boeing is one of three American companies working with the agency's Commercial Crew Program (CCP) to develop safe, reliable and cost-effective crew transportation systems during the Commercial Crew Integrated Capability (CCiCap) initiative, which is intended to make commercial human spaceflight services available for government and commercial customers.
--------
Closed Captioning:
Narrator: NASA astronauts conducted flight suit evaluations inside a fully outfitted test version of The Boeing Company's CST-100 spacecraft Monday.
Chris Ferguson/Boeing What you're not going to find is 1,100 switches or 1,600 switches. When these guys go up in this, they're primary mission is not to fly this spacecraft, they're primary mission is to go to the space station for six months. So we don't want to burden them with an inordinate amount of training to fly our vehicle. 
Narrator: Serena Aunon and Randy Bresnik put on NASA's iconic orange flight suits and then tested their maneuverability, while Boeing engineers monitored communications, equipment and ergonomics.Boeing is one of three American companies working with NASA's Commercial Crew Program to develop safe and affordable crew transportation systems.
Reporter: It's an upgrade?
Serena Aunon/NASA Astronaut: It's an upgrade. It's an American vehicle, of course it's an upgrade.
(laughter)</t>
  </si>
  <si>
    <t>VdQfdKkr46U</t>
  </si>
  <si>
    <t>2013 07 12</t>
  </si>
  <si>
    <t>https://youtu.be/Om9rL4rpMDI</t>
  </si>
  <si>
    <t>SNC's Dream Chaser Prepared For Testing</t>
  </si>
  <si>
    <t>This time-lapse video shows Sierra Nevada Corporation's (SNC) team attaching the wings and tail of the company's Dream Chaser flight vehicle May 18. The crew prepared the vehicle for ground and free-flight tests, which are scheduled throughout 2013. SNC is one of only three companies working with NASA to develop space transportation systems capable of flying astronauts to and from low-Earth orbit and the International Space Station later this decade. The work completed at NASA's Dryden Flight Research Center will demonstrate the winged vehicle's ability to safely land an astronaut crew on a runway.</t>
  </si>
  <si>
    <t>Om9rL4rpMDI</t>
  </si>
  <si>
    <t>2013 07 11</t>
  </si>
  <si>
    <t>https://youtu.be/_3rKiMdk7So</t>
  </si>
  <si>
    <t>Orion Sees Fit Check for Recovery Test</t>
  </si>
  <si>
    <t>Engineers and technicians from NASA Langley Research Center in Virginia, Kennedy Space Center in Florida and Lockheed Martin in Colorado conduct a fit check at NASA Langley in preparation for the August Orion stationary recovery test taking place at the Naval Station Norfolk port facility in Norfolk, Va. The fit check verified that the Orion spacecraft test article would fit on the USS Mesa Verde after being recovered from the water. Testing will simulate Orion recovery in the Pacific Ocean  during the Exploration Flight Test-1 mission in September 2014. Orion's first unmanned mission will fly the spacecraft to approximately 3,600 miles above the Earth's surface. After the test flight, Orion will return to Earth at a speed of approximately 20,000 mph. Orion will then land in the water and be recovered.</t>
  </si>
  <si>
    <t>_3rKiMdk7So</t>
  </si>
  <si>
    <t>2013 07 10</t>
  </si>
  <si>
    <t>https://youtu.be/3p_1jynTvbE</t>
  </si>
  <si>
    <t>Kennedy Now! June 2013</t>
  </si>
  <si>
    <t>Launch teams from Kennedy headed west in June to conduct the IRIS and CubeSat missions from California. The Florida center also unveiled the grand new home of space shuttle Atlantis at the Kennedy Space Center Visitor Complex in June to give guests a chance to see the shuttle as it looked in orbit.</t>
  </si>
  <si>
    <t>3p_1jynTvbE</t>
  </si>
  <si>
    <t>2013 07 03</t>
  </si>
  <si>
    <t>https://youtu.be/2v1j4-GqXk4</t>
  </si>
  <si>
    <t>Commercial Crew Program Trailer Teaser</t>
  </si>
  <si>
    <t>Feast your eyes on this fast-paced Commercial Crew Program movie trailer teaser, featuring three of NASA's industry partners, The Boeing Company, Sierra Nevada Corporation and SpaceX. All three partners are working to get crews launching to the International Space Station from U.S. soil in the middle of the decade. See the full version, now playing in the Kennedy Space Center Visitor Complex's IMAX Theater.</t>
  </si>
  <si>
    <t>2v1j4-GqXk4</t>
  </si>
  <si>
    <t>2013 06 28</t>
  </si>
  <si>
    <t>https://youtu.be/XeWqhj_m3Is</t>
  </si>
  <si>
    <t>Launch Manager Discusses Launch</t>
  </si>
  <si>
    <t>NASA Launch Manager Tim Dunn discusses the successful launch of the IRIS spacecraft.</t>
  </si>
  <si>
    <t>XeWqhj_m3Is</t>
  </si>
  <si>
    <t>https://youtu.be/OHHnud-RRx4</t>
  </si>
  <si>
    <t>Pegasus Carrying IRIS is Launched</t>
  </si>
  <si>
    <t>The Pegasus rocket is released from the L-1011.</t>
  </si>
  <si>
    <t>OHHnud-RRx4</t>
  </si>
  <si>
    <t>https://youtu.be/ICW_hqeH648</t>
  </si>
  <si>
    <t>IRIS and Pegasus Prepared for Launch</t>
  </si>
  <si>
    <t>NASA Mission Manager Jim Hall describes the processing of the IRIS spacecraft and Pegasus launch vehicle.</t>
  </si>
  <si>
    <t>ICW_hqeH648</t>
  </si>
  <si>
    <t>https://youtu.be/L5rcaML4m5I</t>
  </si>
  <si>
    <t>IRIS Separates and Deploys Array</t>
  </si>
  <si>
    <t>The spacecraft has separated from the rocket.</t>
  </si>
  <si>
    <t>L5rcaML4m5I</t>
  </si>
  <si>
    <t>https://youtu.be/HAPh6dazf78</t>
  </si>
  <si>
    <t>Launch Managers Verify IRIS is Ready to Launch</t>
  </si>
  <si>
    <t>NASA Launch Manager Tim Dunn conducts the launch readiness poll.</t>
  </si>
  <si>
    <t>HAPh6dazf78</t>
  </si>
  <si>
    <t>https://youtu.be/Aox2R9GElWw</t>
  </si>
  <si>
    <t>Stargazer Airborne</t>
  </si>
  <si>
    <t>The Orbital Sciences L-1011 and F-18 chase plane take off.</t>
  </si>
  <si>
    <t>Aox2R9GElWw</t>
  </si>
  <si>
    <t>https://youtu.be/FIdXBP1495Y</t>
  </si>
  <si>
    <t>Welcome to IRIS Launch Coverage</t>
  </si>
  <si>
    <t>NASA Launch Commentator George Diller opens live coverage of the Pegasus launch of the IRIS spacecraft.</t>
  </si>
  <si>
    <t>FIdXBP1495Y</t>
  </si>
  <si>
    <t>2013 06 27</t>
  </si>
  <si>
    <t>https://youtu.be/4LVNVe2XeJs</t>
  </si>
  <si>
    <t>CCP Industry Partners Work Toward Space Station</t>
  </si>
  <si>
    <t>NASA's Commercial Crew Program manager and three aerospace industry partner representatives discuss America's efforts to regain a domestic crew launch capability to low-Earth orbit and the International Space Station.</t>
  </si>
  <si>
    <t>4LVNVe2XeJs</t>
  </si>
  <si>
    <t>2013 06 24</t>
  </si>
  <si>
    <t>https://youtu.be/7fEz6jvQmow</t>
  </si>
  <si>
    <t>IRIS Aims to Answer Solar Questions</t>
  </si>
  <si>
    <t>NASA's IRIS mission will focus a precise telescope on the sun to find out how energy moves and changes from the surface to the corona.</t>
  </si>
  <si>
    <t>7fEz6jvQmow</t>
  </si>
  <si>
    <t>2013 06 18</t>
  </si>
  <si>
    <t>https://youtu.be/FQb7RiVDxcM</t>
  </si>
  <si>
    <t>CubeSat Demo Flight Tests Technologies</t>
  </si>
  <si>
    <t>A quartet of small satellites, better known as CubeSats, flew high above California's Mojave Desert on June 15 on a demonstration mission to study the launch environment all the way from liftoff to landing. The spacecraft are being developed to help simplify and lower the cost of small-satellite missions that could fly on smaller, dedicated rockets. Although the rocket's parachute deployed prematurely and the vehicle tumbled to a hard landing, the flight is considered a success and a valuable learning opportunity. Teams now are retrieving their data and gearing up for another flight in the coming months.</t>
  </si>
  <si>
    <t>FQb7RiVDxcM</t>
  </si>
  <si>
    <t>2013 06 13</t>
  </si>
  <si>
    <t>https://youtu.be/w413YD4j-EI</t>
  </si>
  <si>
    <t>CubeSats, Launcher to Test Satellite Innovations</t>
  </si>
  <si>
    <t>Launching June 15 from Mojave, Calif., a Prospector-18D liquid-fueled rocket is to carry a set of small satellites high into the air to test how well they handle the shock, heat and vibration of launch. The satellites, each a 4-inch cube, are packed with sensors and equipment for the test flight that is expected to lead to an orbital mission next year. Advances in the small satellites' design could be used in the future in other spacecraft.</t>
  </si>
  <si>
    <t>w413YD4j-EI</t>
  </si>
  <si>
    <t>2013 06 06</t>
  </si>
  <si>
    <t>https://youtu.be/MEdGzcv0jN8</t>
  </si>
  <si>
    <t>Mercury-Atlas 4</t>
  </si>
  <si>
    <t>Test Flight
September 13, 1961</t>
  </si>
  <si>
    <t>MEdGzcv0jN8</t>
  </si>
  <si>
    <t>https://youtu.be/IKxQDkvyNb0</t>
  </si>
  <si>
    <t>Freedom 7</t>
  </si>
  <si>
    <t>Mercury-Redstone 3
Astronaut Alan Shepard
May 5, 1961</t>
  </si>
  <si>
    <t>IKxQDkvyNb0</t>
  </si>
  <si>
    <t>https://youtu.be/zVCjX-EST3c</t>
  </si>
  <si>
    <t>Friendship 7</t>
  </si>
  <si>
    <t>Mercury-Atlas 6
Astronaut John Glenn
February 20, 1962</t>
  </si>
  <si>
    <t>zVCjX-EST3c</t>
  </si>
  <si>
    <t>https://youtu.be/Cgu3U6rqPqk</t>
  </si>
  <si>
    <t>Liberty Bell 7</t>
  </si>
  <si>
    <t>Mercury-Redston 4
Astronaut Gus Grissom
July 21, 1961</t>
  </si>
  <si>
    <t>Cgu3U6rqPqk</t>
  </si>
  <si>
    <t>https://youtu.be/eI1vDxomga0</t>
  </si>
  <si>
    <t>Kennedy NOW! May 2013</t>
  </si>
  <si>
    <t>In this edition of Kennedy NOW! see the progress NASA's Commercial Crew Program partners are making to get astronauts launching into low-Earth orbit atop American-made rockets and spacecraft. Find out about the space agency's work to prepare its deep-space vehicle for a flight test next year. Also, see what went on at the center's latest Robotics Mining Competition.</t>
  </si>
  <si>
    <t>eI1vDxomga0</t>
  </si>
  <si>
    <t>2013 06 05</t>
  </si>
  <si>
    <t>https://youtu.be/2QPFhyyAv8Q</t>
  </si>
  <si>
    <t>NASA's Mercury Control Center at the Cape</t>
  </si>
  <si>
    <t>The first American manned flights of the Space Age launched atop Mercury Redstone and Atlas rockets. As the Original 7 astronauts made the first steps into space, NASA engineers and managers at the Mercury Control Center followed their flights from Cape Canaveral.  The first Gemini Titans were also followed here prior to the eventual handoff to Mission Control Houston in 1965.</t>
  </si>
  <si>
    <t>2QPFhyyAv8Q</t>
  </si>
  <si>
    <t>2013 05 28</t>
  </si>
  <si>
    <t>https://youtu.be/DheVO2qwzsI</t>
  </si>
  <si>
    <t>An Inside Look at SNC's Dream Chaser</t>
  </si>
  <si>
    <t>Cheryl McPhillips, the NASA Commercial Crew Program partner manager for Sierra Nevada Corporation (SNC), discusses the uniqueness of the company's Dream Chaser spacecraft and the milestones SNC plans to meet during the agency's Commercial Crew Integrated Capability (CCiCap) initiative.</t>
  </si>
  <si>
    <t>DheVO2qwzsI</t>
  </si>
  <si>
    <t>2013 05 24</t>
  </si>
  <si>
    <t>https://youtu.be/L_j6KCwWbmw</t>
  </si>
  <si>
    <t>Space Age Gateway to New Atlantis Attraction Takes Shape</t>
  </si>
  <si>
    <t>The home of space shuttle Atlantis continues taking shape at the Kennedy Space Center Visitor Complex. Crews placed the nose cone atop the second of a replica pair of solid rocket boosters. A life-size external tank model will be built between them to form a complete "stack" the same size as the ones that lifted space shuttles into orbit for 30 years. The stack, which will reach 184 feet when finished, will straddle a walkway into the Space Shuttle Atlantis attraction's main building, a new, 90,000-square-foot exhibit hall housing Atlantis itself.</t>
  </si>
  <si>
    <t>L_j6KCwWbmw</t>
  </si>
  <si>
    <t>https://youtu.be/kvG54NCdKNU</t>
  </si>
  <si>
    <t>Successful Launch by Rocket U</t>
  </si>
  <si>
    <t>A single-stage, high-powered rocket designed and built by engineers from NASA's Rocket University program was launched successfully from Launch Pad 39A at NASA's Kennedy Space Center in Florida on May 24. "Rocket U" allows agency engineers to gain and hone critical flight skills as they design, build and launch high-powered rockets at the spaceport. Engineers participate in courses, workshops, labs and projects as time from their regular NASA duties permits. 
This rocket's motor burned for about 1.7 seconds, achieved a maximum speed of about 450 mph and reached a height of more than eight-tenths of a mile.</t>
  </si>
  <si>
    <t>kvG54NCdKNU</t>
  </si>
  <si>
    <t>https://youtu.be/hwFJUg0XcLw</t>
  </si>
  <si>
    <t>NASA Administrator Flies Dream Chaser Simulator</t>
  </si>
  <si>
    <t>NASA Administrator Charlie Bolden had the opportunity to fly a simulated landing of the Sierra Nevada Corporation (SNC) Dream Chaser while touring the agency's Dryden Flight Research Center in California on May 22.
SNC's Dream Chaser flight test vehicle arrived at Dryden on May 15 in preparation for tow, captive-carry and free-flight tests later this year. The testing is part of NASA's Commercial Crew Program (CCP) initiatives to develop safe, reliable and cost-effective access to and from low-Earth orbit destinations, including the International Space Station.</t>
  </si>
  <si>
    <t>hwFJUg0XcLw</t>
  </si>
  <si>
    <t>2013 05 17</t>
  </si>
  <si>
    <t>https://youtu.be/z9mXAAQyrdY</t>
  </si>
  <si>
    <t>NASA Astronauts Fly Dream Chaser Simulations May 15-17</t>
  </si>
  <si>
    <t>Jack Fischer was one of four NASA astronauts to fly approach and landing simulations of Sierra Nevada Corporation's Dream Chaser spacecraft at the agency's Langley Research Center in Hampton, Va. The three-day simulations evaluated the spacecraft's subsonic handling in support of NASA Commercial Crew Program efforts.</t>
  </si>
  <si>
    <t>z9mXAAQyrdY</t>
  </si>
  <si>
    <t>2013 05 16</t>
  </si>
  <si>
    <t>https://youtu.be/IFAsWwKKLV0</t>
  </si>
  <si>
    <t>NASA Dryden Welcomes SNC's Dream Chaser for Testing</t>
  </si>
  <si>
    <t>Sierra Nevada Corp. (SNC) Space Systems' Dream Chaser test flight craft, also known as an engineering test article, arrived at NASA's Dryden Flight Research Center in Edwards, Calif., May 15 to begin tests of its flight and runway landing systems.
With its wings and tail structure removed and shrouded in plastic wrap, the test article was transported from the company's facility in Louisville, Colo., atop a flatbed truck and trailer. The five-state journey took about five days to complete.</t>
  </si>
  <si>
    <t>IFAsWwKKLV0</t>
  </si>
  <si>
    <t>2013 05 13</t>
  </si>
  <si>
    <t>https://youtu.be/ID1dllVR0a8</t>
  </si>
  <si>
    <t>Kennedy NOW!</t>
  </si>
  <si>
    <t>In this edition of Kennedy NOW! see the preparations under way by the Kennedy based Launch Services Program to ready NASA's IRIS mission for launch later this year. Also, find out about the space agency's plans for astronauts to explore an asteroid and what it means for Kennedy.</t>
  </si>
  <si>
    <t>ID1dllVR0a8</t>
  </si>
  <si>
    <t>2013 05 03</t>
  </si>
  <si>
    <t>https://youtu.be/M3bgFvFF1I0</t>
  </si>
  <si>
    <t>2013 Space Apps Challenge</t>
  </si>
  <si>
    <t>During the 2013 Space Apps Challenge, space enthusiasts with diverse backgrounds gathered April 20-21 for a collaborative, global problem-solving effort. Held at Kennedy Space Center Visitor Complex's Center for Space Education, the event hosted team members from Kennedy and the general public, with participants from 83 cities in 44 countries taking part online. Kennedy's teams brainstormed ideas and talked to NASA subject matter experts to solve challenges relevant to improving life on Earth and in space.</t>
  </si>
  <si>
    <t>M3bgFvFF1I0</t>
  </si>
  <si>
    <t>2013 05 02</t>
  </si>
  <si>
    <t>https://youtu.be/kFpVGjiPW0w</t>
  </si>
  <si>
    <t>Workers Take the Wraps Off Atlantis</t>
  </si>
  <si>
    <t>A plastic covering placed over space shuttle Atlantis to protect it from construction dust and debris was removed to reveal the historic spacecraft as construction of its new exhibit hall continues at the Kennedy Space Center Visitor Complex.</t>
  </si>
  <si>
    <t>kFpVGjiPW0w</t>
  </si>
  <si>
    <t>2013 04 26</t>
  </si>
  <si>
    <t>https://youtu.be/RE84QxbhACg</t>
  </si>
  <si>
    <t>Hall Opens Doors to Astronaut Heroes</t>
  </si>
  <si>
    <t>Space shuttle astronauts Bonnie Dunbar, Curt Brown and Eileen Collins joined an elite group of American space heroes as they were inducted into the U.S. Astronaut Hall of Fame on April 20, during a ceremony at the Kennedy Space Center Visitor Complex. They were being welcomed to the ranks of legendary pioneers such as John Glenn, Neil Armstrong and Sally Ride -- distinguished members of the Hall of Fame.</t>
  </si>
  <si>
    <t>RE84QxbhACg</t>
  </si>
  <si>
    <t>2013 04 17</t>
  </si>
  <si>
    <t>https://youtu.be/CmLZbYA3JzY</t>
  </si>
  <si>
    <t>NASA Shows Progress of President's Space Exploration Vision</t>
  </si>
  <si>
    <t>On the third anniversary of President Obama's visit to NASA's Kennedy Space Center in Florida, where he set his space exploration vision for the future, news media representatives were given an opportunity to see up close the Orion spacecraft that could take astronauts on an asteroid sampling mission as early as 2021.</t>
  </si>
  <si>
    <t>CmLZbYA3JzY</t>
  </si>
  <si>
    <t>2013 04 04</t>
  </si>
  <si>
    <t>https://youtu.be/AI8IMeQXF-s</t>
  </si>
  <si>
    <t>In this edition of Kennedy Now!, find out about accelerating preparations for an Orion flight test next year, along with a robotic miner under development. Also see the robotic craft designed and built by high school students for the FIRST competition.</t>
  </si>
  <si>
    <t>AI8IMeQXF-s</t>
  </si>
  <si>
    <t>2013 03 28</t>
  </si>
  <si>
    <t>https://youtu.be/MW3WbIid7PE</t>
  </si>
  <si>
    <t>Angry Birds Take Roost at Visitor Complex</t>
  </si>
  <si>
    <t>A flock of animated birds descended on the Kennedy Space Center Visitor Complex as the new Angry Birds Space Encounter attraction officially opened in Florida on March 22.
Visitors can come face-to-face with Angry Birds Space characters. including Super Red, Lazer Bird, Space Bomb and Incredible Terence, as they follow their kidnapped eggs into an inter-galactic wormhole, encounter Space Pigs and discover their superpowers, all while learning about math, science, engineering and technology.</t>
  </si>
  <si>
    <t>MW3WbIid7PE</t>
  </si>
  <si>
    <t>2013 03 22</t>
  </si>
  <si>
    <t>https://youtu.be/udRjTDKPcH4</t>
  </si>
  <si>
    <t>Angry Birds Space Encounter</t>
  </si>
  <si>
    <t>At NASA's Kennedy Space Center Visitor Complex in Florida, a grand opening celebration was held for the new Angry Birds Space Encounter, March 22. Finland-based Rovio Entertainment, the creator of the Angry Birds Space game, partnered with Kennedy Space Center to bring the beloved characters to life. It is the first Angry Birds interactive exhibit in the United States designed for people of all ages.</t>
  </si>
  <si>
    <t>udRjTDKPcH4</t>
  </si>
  <si>
    <t>2013 03 08</t>
  </si>
  <si>
    <t>https://youtu.be/Ifq57wDIYi0</t>
  </si>
  <si>
    <t>2013 roared out of the blocks at NASA's Kennedy Space Center as launch teams oversaw liftoffs from both coasts. The Florida-based center also continued its work prepping payloads bound for the International space Station.</t>
  </si>
  <si>
    <t>Ifq57wDIYi0</t>
  </si>
  <si>
    <t>2013 03 01</t>
  </si>
  <si>
    <t>https://youtu.be/n05BtbVNmX4</t>
  </si>
  <si>
    <t>SpaceX-2  Liftoff of Falcon 9</t>
  </si>
  <si>
    <t>SpaceX's Falcon 9 rocket and Dragon spacecraft launch on time at 10:10 a.m. EST from Launch Complex 40 at Cape Canaveral Air Force Station in Florida. The goal of the SpaceX 2 mission is to resupply the International Space Station.</t>
  </si>
  <si>
    <t>n05BtbVNmX4</t>
  </si>
  <si>
    <t>2013 02 28</t>
  </si>
  <si>
    <t>https://youtu.be/rThMVXEIuRY</t>
  </si>
  <si>
    <t>Blue Origin Tests BE-3 Engine Thrust Chamber Assembly</t>
  </si>
  <si>
    <t>Blue Origin successfully fires the thrust chamber assembly for its new 100,000 pound thrust BE-3 liquid oxygen, liquid hydrogen rocket engine. As part of the company's Reusable Booster System (RBS), the engines are designed eventually to launch the biconic-shaped Space Vehicle the company is developing in collaboration with NASA's Commercial Crew Program.</t>
  </si>
  <si>
    <t>rThMVXEIuRY</t>
  </si>
  <si>
    <t>2013 02 26</t>
  </si>
  <si>
    <t>https://youtu.be/YWiRuyhjEZ8</t>
  </si>
  <si>
    <t>NASA Developing Mining Robot for Moon, Mars</t>
  </si>
  <si>
    <t>NASA is developing the RASSOR mining robot to collect soil, or regolith, on the moon or Mars so it can be processed into rocket fuel, breathable air and other commodities. By using materials available at other locations in the solar system, astronauts don't have to carry it all from Earth.</t>
  </si>
  <si>
    <t>YWiRuyhjEZ8</t>
  </si>
  <si>
    <t>2013 02 11</t>
  </si>
  <si>
    <t>https://youtu.be/WMIWIk57EUg</t>
  </si>
  <si>
    <t>Recap of a Successful Launch</t>
  </si>
  <si>
    <t>Launch Commentator George Diller talks to Launch Services' Tim Dunn about the successful Atlas V launch.</t>
  </si>
  <si>
    <t>WMIWIk57EUg</t>
  </si>
  <si>
    <t>https://youtu.be/YhA1qAUP33s</t>
  </si>
  <si>
    <t>LDCM in Space</t>
  </si>
  <si>
    <t>The spacecraft has successfully separated from the booster.</t>
  </si>
  <si>
    <t>YhA1qAUP33s</t>
  </si>
  <si>
    <t>https://youtu.be/2pnqFHXoA1c</t>
  </si>
  <si>
    <t>Liftoff Atlas V</t>
  </si>
  <si>
    <t>The Atlas V carrying the LDCM spacecraft roars off the launch pad.</t>
  </si>
  <si>
    <t>2pnqFHXoA1c</t>
  </si>
  <si>
    <t>https://youtu.be/yzvnqh90LyQ</t>
  </si>
  <si>
    <t>Ready for Launch</t>
  </si>
  <si>
    <t>The launch team is polled and gives the rocket and spacecraft a "go" for launch.</t>
  </si>
  <si>
    <t>yzvnqh90LyQ</t>
  </si>
  <si>
    <t>https://youtu.be/OsF7Nqe_4Cs</t>
  </si>
  <si>
    <t>Atlas V and LDCM are Readied for Launch</t>
  </si>
  <si>
    <t>The rocket and spacecraft are prepared for liftoff.</t>
  </si>
  <si>
    <t>OsF7Nqe_4Cs</t>
  </si>
  <si>
    <t>https://youtu.be/whI1EVFWUZ8</t>
  </si>
  <si>
    <t>Countdown to LDCM Launch</t>
  </si>
  <si>
    <t>NASA Launch Commentator George Diller opens launch coverage of the Atlas V set to carry the LDCM spacecraft.</t>
  </si>
  <si>
    <t>whI1EVFWUZ8</t>
  </si>
  <si>
    <t>2013 02 08</t>
  </si>
  <si>
    <t>https://youtu.be/oqBFzVM0AyU</t>
  </si>
  <si>
    <t>LDCM  A New Era in Earth Observation</t>
  </si>
  <si>
    <t>NASA's Landsat Data Continuity Mission (LDCM) is the eighth satellite in the Landsat series, which began in 1972. The mission will extend more than 40 years of global land observations that are critical in many areas, such as energy and water management, forest monitoring, human and environmental health, urban planning, disaster recovery and agriculture. NASA's Launch Services Program will launch the LDCM spacecraft atop a United Launch Alliance Atlas V 401 rocket from Vandenberg Air Force Base in California.</t>
  </si>
  <si>
    <t>oqBFzVM0AyU</t>
  </si>
  <si>
    <t>2013 01 31</t>
  </si>
  <si>
    <t>https://youtu.be/Z0JoWyz8ze8</t>
  </si>
  <si>
    <t>TDRS-K in Orbit</t>
  </si>
  <si>
    <t>The spacecraft has successfully separated from the Centaur upper stage.</t>
  </si>
  <si>
    <t>Z0JoWyz8ze8</t>
  </si>
  <si>
    <t>https://youtu.be/lF-N0e0kkdw</t>
  </si>
  <si>
    <t>Interview with NASA Launch Manager Tim Dunn</t>
  </si>
  <si>
    <t>Dunn describes the countdown to launch of the Atlas V carrying the TDRS-K spacecraft.</t>
  </si>
  <si>
    <t>lF-N0e0kkdw</t>
  </si>
  <si>
    <t>https://youtu.be/FPaVOR5zCjE</t>
  </si>
  <si>
    <t>Close-up Views of TDRS-K Launch</t>
  </si>
  <si>
    <t>See multiple views of the Atlas V launch of the TDRS-K spacecraft.</t>
  </si>
  <si>
    <t>FPaVOR5zCjE</t>
  </si>
  <si>
    <t>https://youtu.be/ZoPusN_O7qg</t>
  </si>
  <si>
    <t>Liftoff for TDRS-K</t>
  </si>
  <si>
    <t>An Atlas V rocket lights up the sky over Florida's Space Coast as it carries NASA's TDRS-K spacecraft to orbit.</t>
  </si>
  <si>
    <t>ZoPusN_O7qg</t>
  </si>
  <si>
    <t>https://youtu.be/YbP3upRGc9I</t>
  </si>
  <si>
    <t>Atlas V is  Go  for Launch</t>
  </si>
  <si>
    <t>The launch team has been polled and everything is "go" for liftoff of the Atlas V carrying the TDRS-K spacecraft.</t>
  </si>
  <si>
    <t>YbP3upRGc9I</t>
  </si>
  <si>
    <t>2013 01 30</t>
  </si>
  <si>
    <t>https://youtu.be/b0iAoJPEk_I</t>
  </si>
  <si>
    <t>Atlas V TDRS-K Launch Countdown</t>
  </si>
  <si>
    <t>NASA Launch Commentator George Diller opens the countdown coverage for the Atlas V launch of TDRS-K.</t>
  </si>
  <si>
    <t>b0iAoJPEk_I</t>
  </si>
  <si>
    <t>2013 01 28</t>
  </si>
  <si>
    <t>https://youtu.be/kaRGZkB9Sjc</t>
  </si>
  <si>
    <t>TDRS-K Ready for Flight</t>
  </si>
  <si>
    <t>The first spacecraft in the next generation of space communications is ready to take its place in NASA's Tracking and Data Relay Satellite System, or TDRS.</t>
  </si>
  <si>
    <t>kaRGZkB9Sjc</t>
  </si>
  <si>
    <t>https://youtu.be/zNSxl9UXkCU</t>
  </si>
  <si>
    <t>TDRS-K to Add to Vital Space Network</t>
  </si>
  <si>
    <t>NASA officials discuss the launch of the TDRS-K spacecraft to add to the space network that enables communications between the International Space Station and Earth-orbiting satellites and ground controllers.</t>
  </si>
  <si>
    <t>zNSxl9UXkCU</t>
  </si>
  <si>
    <t>2013 01 25</t>
  </si>
  <si>
    <t>https://youtu.be/-oFYGK2mrwY</t>
  </si>
  <si>
    <t>In Their Own Words  Tom Simon</t>
  </si>
  <si>
    <t>Tom Simon, a contracting officer's representative for NASA's Commercial Crew Program, discusses the importance of certifying commercial transportation systems are safe to carry NASA astronauts to the International Space Station in this "In Their Own Words" video.</t>
  </si>
  <si>
    <t>-oFYGK2mrwY</t>
  </si>
  <si>
    <t>2013 01 24</t>
  </si>
  <si>
    <t>https://youtu.be/IMUxyOUXL9o</t>
  </si>
  <si>
    <t>Accelerating an American Ride to Low-Earth Orbit</t>
  </si>
  <si>
    <t>Together, NASA and its Commercial Crew Program partners are accelerating the development of rockets and spacecraft, ensuring American astronauts can launch from U.S. soil to the International Space Station and return safely by around the middle of the decade. During a Jan. 9 Status Update News Conference at NASA's Kennedy Space Center in Florida, representatives from NASA, Blue Origin, The Boeing Company, Sierra Nevada Corp. (SNC) Space Systems and Space Exploration Technologies (SpaceX) talked about how their goals to end the gap in U.S. human access to space are aligned.</t>
  </si>
  <si>
    <t>IMUxyOUXL9o</t>
  </si>
  <si>
    <t>2012 12 21</t>
  </si>
  <si>
    <t>https://youtu.be/Fo7PrNNmdkA</t>
  </si>
  <si>
    <t>Removal of Legacy Hardware Leads to Modernization</t>
  </si>
  <si>
    <t>The Commercial Crew and Cargo Processing Facility at NASA's Kennedy Space Center in Florida is going through major renovations to support the manufacturing of The Boeing Company's CST-100 spacecraft. Known throughout the space shuttle era as Orbiter Processing Facilty-3, the facility's orbiter-specific platforms were removed recently to make room for a clean-floor factory-like facility. The modernization will allow Boeing to process its new fleet of low-Earth-orbit bound spacecraft, which is under development in collaboration with NASA's Commercial Crew Program. Boeing is leasing the excess government facility for next-generation commercial activities through a land-use agreement with Space Florida.</t>
  </si>
  <si>
    <t>Fo7PrNNmdkA</t>
  </si>
  <si>
    <t>2012 12 19</t>
  </si>
  <si>
    <t>https://youtu.be/VybS9Smkuss</t>
  </si>
  <si>
    <t>NASA Train Upgraded in Shuttle-Era Facility</t>
  </si>
  <si>
    <t>When one of NASA's railroad locomotives needed a newer set of wheels, the one-of-a-kind Rotation, Processing and Surge Facility made the upgrade possible.</t>
  </si>
  <si>
    <t>VybS9Smkuss</t>
  </si>
  <si>
    <t>2012 11 30</t>
  </si>
  <si>
    <t>https://youtu.be/A6kcw0zPf6E</t>
  </si>
  <si>
    <t>Next-Generation Space Ambitions Keep Rolling</t>
  </si>
  <si>
    <t>As space shuttle Atlantis rolled to its new home at the Kennedy Space Center Visitor Complex earlier this month, NASA and its commercial crew partners reflected on the Space Shuttle Program's tremendous accomplishments and vowed to continue America's leadership in space.</t>
  </si>
  <si>
    <t>A6kcw0zPf6E</t>
  </si>
  <si>
    <t>2012 11 15</t>
  </si>
  <si>
    <t>https://youtu.be/kKSC0J1ehFg</t>
  </si>
  <si>
    <t>Crawler-Transporter Time-Lapse</t>
  </si>
  <si>
    <t>Time-lapse video shows crawler-transporter No. 2 traveling from the Vehicle Assembly Building to Launch Pad 39A at NASA's Kennedy Space Center in Florida. The move was performed by the Ground Systems Development and Operations Program to check out recently completed modifications and ensure its ability to carry launch vehicles such as the space agency's Space Launch System heavy-lift rocket to the pad.</t>
  </si>
  <si>
    <t>kKSC0J1ehFg</t>
  </si>
  <si>
    <t>2012 11 13</t>
  </si>
  <si>
    <t>https://youtu.be/tJpmh6N9-Xc</t>
  </si>
  <si>
    <t>Kennedy Space Center  50 Years</t>
  </si>
  <si>
    <t>Building on five decades of experience and success, NASA's Kennedy Space Center in Florida prepares for the future of American spaceflight.</t>
  </si>
  <si>
    <t>tJpmh6N9-Xc</t>
  </si>
  <si>
    <t>2012 11 09</t>
  </si>
  <si>
    <t>https://youtu.be/1TZc8XOkUnU</t>
  </si>
  <si>
    <t>Atlantis Time-Lapse Move to KSC Visitor Complex</t>
  </si>
  <si>
    <t>Time-lapse cameras captured space shuttle Atlantis making a 10-mile trek from the Vehicle Assembly Building at NASA's Kennedy Space Center in Florida to the Kennedy Space Center Visitor Complex where it will be put on public display beginning in the summer of 2013.</t>
  </si>
  <si>
    <t>1TZc8XOkUnU</t>
  </si>
  <si>
    <t>https://youtu.be/hkf6W8ORTt4</t>
  </si>
  <si>
    <t>VAB Platforms Removed - Time Lapse</t>
  </si>
  <si>
    <t>Time-lapse video shows workers removing several large, shuttle-era work platforms from High Bay 3 in the Vehicle Assembly Building at NASA's Kennedy Space Center in Florida. Each work platform is several stories high and was removed so new, adaptable structures can be built in their place and the VAB can be used to service different kinds of rockets and spacecraft.</t>
  </si>
  <si>
    <t>hkf6W8ORTt4</t>
  </si>
  <si>
    <t>2012 11 07</t>
  </si>
  <si>
    <t>https://youtu.be/pm7SkfnWpvM</t>
  </si>
  <si>
    <t>Sentinels Stood Ready for Shuttle Flights</t>
  </si>
  <si>
    <t>Specially trained Air Force rescue crews equipped with helicopters, long-range aircraft and life-saving gear were on hand throughout NASA's Space Shuttle Program to come to the aid of astronauts.</t>
  </si>
  <si>
    <t>pm7SkfnWpvM</t>
  </si>
  <si>
    <t>2012 11 05</t>
  </si>
  <si>
    <t>https://youtu.be/sy0HX_Q_s7o</t>
  </si>
  <si>
    <t>Atlantis Moves to New Home</t>
  </si>
  <si>
    <t>Space shuttle Atlantis makes a 10-mile trek from the Vehicle Assembly Building at NASA's Kennedy Space Center in Florida to the Kennedy Space Center Visitor Complex where it will be put on public display beginning in the summer of 2013.</t>
  </si>
  <si>
    <t>sy0HX_Q_s7o</t>
  </si>
  <si>
    <t>2012 11 02</t>
  </si>
  <si>
    <t>https://youtu.be/kX5SEJsXbaY</t>
  </si>
  <si>
    <t>Atlantis Reaches New Home at Kennedy</t>
  </si>
  <si>
    <t>Space shuttle Atlantis completed its 10-mile journey to its new home at the Kennedy Space Center Visitor Complex on Nov. 2, 2012. The shuttle, riding atop a specialized 76-wheel transporter, was moved from the Vehicle Assembly Building at Kennedy at 6:30 a.m. and carried on a route through the expansive space center before turning into the visitor complex where a 90,000-square foot exhibit hall is taking shape.</t>
  </si>
  <si>
    <t>kX5SEJsXbaY</t>
  </si>
  <si>
    <t>https://youtu.be/d7O3wPs97vI</t>
  </si>
  <si>
    <t>Atlantis' Move From the Air, Extended Version</t>
  </si>
  <si>
    <t>An extended look at space shuttle Atlantis as it was moved 10 miles through Kennedy Space Center to its new exhibit hall at the visitor complex on Nov. 2, 2012. (no sound)</t>
  </si>
  <si>
    <t>d7O3wPs97vI</t>
  </si>
  <si>
    <t>https://youtu.be/LTKsU2qe4tg</t>
  </si>
  <si>
    <t>NASA Celebrates Atlantis as Pioneer, Inspiration</t>
  </si>
  <si>
    <t>Astronauts and senior NASA management noted the contributions of space shuttle Atlantis as they signed the spacecraft over for a new mission of inspiration as it goes on public display at the Kennedy Space Center Visitor Complex.</t>
  </si>
  <si>
    <t>LTKsU2qe4tg</t>
  </si>
  <si>
    <t>https://youtu.be/eUUe1croU5E</t>
  </si>
  <si>
    <t>NASA Administrator Marks Atlantis' Retirement</t>
  </si>
  <si>
    <t>NASA Administrator Charles Bolden talks about the influence of the space shuttle on NASA's history during a ceremony officially handing over the retired spacecraft to the Kennedy Space Center Visitor Complex where it will be displayed in an exhibit hall now under construction. The shuttle made the trip from the Vehicle Assembly Building to the Visitor Complex on Nov. 2, 2012.</t>
  </si>
  <si>
    <t>eUUe1croU5E</t>
  </si>
  <si>
    <t>https://youtu.be/PjtsXSKG4t4</t>
  </si>
  <si>
    <t>Atlantis Rolls Through Kennedy Space Center</t>
  </si>
  <si>
    <t>Aerial views of space shuttle Atlantis as the spacecraft is moved through Kennedy Space Center on its way to its new permanent home on exhibit at the Kennedy Space Center Visitor Complex. (No audio.)</t>
  </si>
  <si>
    <t>PjtsXSKG4t4</t>
  </si>
  <si>
    <t>https://youtu.be/BJWdnT3uMts</t>
  </si>
  <si>
    <t>Atlantis Begins Move to Kennedy Space Center Visitor Complex</t>
  </si>
  <si>
    <t>Workers began moving space shuttle Atlantis from the Vehicle Assembly Building at 6:30 a.m. EDT on Friday, Nov.2 to Atlantis' new home at the Kennedy Space Center Visitor Complex.</t>
  </si>
  <si>
    <t>BJWdnT3uMts</t>
  </si>
  <si>
    <t>2012 10 29</t>
  </si>
  <si>
    <t>https://youtu.be/WTIhylcZEjw</t>
  </si>
  <si>
    <t>2012 Innovation Expo  Learn Everywhere</t>
  </si>
  <si>
    <t>Ace Glenn of Learn Everywhere talks to Kennedy Space Center employees about how his company is innovative within the education landscape.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</si>
  <si>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WTIhylcZEjw</t>
  </si>
  <si>
    <t>https://youtu.be/0JfyWDsXZMg</t>
  </si>
  <si>
    <t>2012 Innovation Expo  NASA Engineering and Technology</t>
  </si>
  <si>
    <t>Philip Metzger, a NASA research physicist and scientist engineer of the year at Kennedy Space Center, talks to employees about the energy barrier at the end of the world.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</si>
  <si>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0JfyWDsXZMg</t>
  </si>
  <si>
    <t>https://youtu.be/LxWdM7OB9KY</t>
  </si>
  <si>
    <t>2012 Innovation Expo  Universal Orlando</t>
  </si>
  <si>
    <t>Bob Hartline with Universal Orlando talks to Kennedy Space Center employees about being innovative with vendors or commercial off-the-shelf products.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</si>
  <si>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LxWdM7OB9KY</t>
  </si>
  <si>
    <t>https://youtu.be/mkT0KtyLgCU</t>
  </si>
  <si>
    <t>2012 Innovation Expo  NASA Avionics and Flight Controls</t>
  </si>
  <si>
    <t>John Speck, a NASA avionics and flight controls lead at Kennedy Space Center, talks to employees about how music has affected the way he performs his job as an engineer.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</si>
  <si>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mkT0KtyLgCU</t>
  </si>
  <si>
    <t>https://youtu.be/i5TKC1wDAWE</t>
  </si>
  <si>
    <t>2012 Innovation Expo  First Biofuel Jet Pilot</t>
  </si>
  <si>
    <t>Carol Sugars talks to Kennedy Space Center employees about how the ability to be innovative helped her pilot the world's first biofuel-powered jet.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</si>
  <si>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i5TKC1wDAWE</t>
  </si>
  <si>
    <t>https://youtu.be/dnerAF_vgFY</t>
  </si>
  <si>
    <t>2012 Innovation Expo  Sierra Nevada Corporation</t>
  </si>
  <si>
    <t>Merri Sanchez with Sierra Nevada Corporation (SNC) talks to Kennedy Space Center employees about the company's Dream Chaser spacecraft and its partnership with NASA's Commercial Crew Program to develop America's next-generation crew transportation.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</si>
  <si>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dnerAF_vgFY</t>
  </si>
  <si>
    <t>https://youtu.be/5-pHpEcFt4g</t>
  </si>
  <si>
    <t>2012 Innovation Expo  Earthrise Space Inc.</t>
  </si>
  <si>
    <t>Adam Nehr with Earthrise Space Inc.'s Envoy project talks to Kennedy Space Center employees about the study of innovation and how to pursue innovative thought.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</si>
  <si>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5-pHpEcFt4g</t>
  </si>
  <si>
    <t>https://youtu.be/Nh2q29WP3Rw</t>
  </si>
  <si>
    <t>2012 KSC Innovation Expo  United States Navy</t>
  </si>
  <si>
    <t>Captain Steve Nakagawa of the Naval Air Warfare Center Training Systems Division and Naval Support Activity in Orlando, Fla., talks to Kennedy Space Center employees about the approaches the Navy uses for modeling, simulating and training.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</si>
  <si>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Nh2q29WP3Rw</t>
  </si>
  <si>
    <t>https://youtu.be/_6asnta7MXc</t>
  </si>
  <si>
    <t>2012 Innovation Expo  KSC Visitor Complex Master Plan</t>
  </si>
  <si>
    <t>Luis Berrios, a NASA senior design specialist working with the Kennedy Space Center Visitor Complex's development team, talks to center employees about future displays, including space shuttle Atlantis.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</si>
  <si>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_6asnta7MXc</t>
  </si>
  <si>
    <t>2012 10 24</t>
  </si>
  <si>
    <t>https://youtu.be/S8NFLIJSMM4</t>
  </si>
  <si>
    <t>Blue Origin Conducts Pad Escape Test</t>
  </si>
  <si>
    <t>Blue Origin conducted a successful pad escape test Oct. 19 at the company's West Texas Launch Site, firing its pusher escape motor and launching a full-scale suborbital crew capsule from a propulsion module simulator. The test was part of Blue Origin's work supporting its funded Space Act Agreement with NASA's Commercial Crew Program during Commercial Crew Development Round 2.</t>
  </si>
  <si>
    <t>S8NFLIJSMM4</t>
  </si>
  <si>
    <t>2012 10 18</t>
  </si>
  <si>
    <t>https://youtu.be/EwQnGxtm5V8</t>
  </si>
  <si>
    <t>2012 Innovation Expo  The Boy Scouts of America</t>
  </si>
  <si>
    <t>Kevin Litt with The Boy Scouts of America talks to Kennedy Space Center employees about the greatest leadership secret: The Golden Rule.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</si>
  <si>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EwQnGxtm5V8</t>
  </si>
  <si>
    <t>https://youtu.be/3sxfsTzQ944</t>
  </si>
  <si>
    <t>2012 Innovation Expo  International Speaker</t>
  </si>
  <si>
    <t>Joachim de Posada, an international speaker, author and consultant talks to Kennedy Space Center employees about how one idea can change your whole life.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</si>
  <si>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3sxfsTzQ944</t>
  </si>
  <si>
    <t>2012 10 16</t>
  </si>
  <si>
    <t>https://youtu.be/wqT54JQpbf4</t>
  </si>
  <si>
    <t>Commercial Crew CCiCap Partners</t>
  </si>
  <si>
    <t>NASA's Commercial Crew Program and its newest Commercial Crew Integrated Capability (CCiCap) partners are embracing the American spirit as they advance their integrated rocket and spacecraft designs for the future of human spaceflight.</t>
  </si>
  <si>
    <t>wqT54JQpbf4</t>
  </si>
  <si>
    <t>2012 10 12</t>
  </si>
  <si>
    <t>https://youtu.be/r6upfrmeAVE</t>
  </si>
  <si>
    <t>2012 Innovation Expo  The Walt Disney Company</t>
  </si>
  <si>
    <t>Jeffrey Miller with The Walt Disney Company talks to Kennedy Space Center employees about the importance of sharing their work with the public through captivating storytelling.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</si>
  <si>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r6upfrmeAVE</t>
  </si>
  <si>
    <t>https://youtu.be/h_QF5PPSO0k</t>
  </si>
  <si>
    <t>2012 Innovation Expo  Publix Super Markets</t>
  </si>
  <si>
    <t>Erik Katenkamp of Publix Super Markets talks to Kennedy Space Center employees about streamlining teams and managing projects. The 2012 Kennedy Space Center Innovation Expo on Sept. 6 was a centerwide event that brought in inspirational speakers from outside companies, gave researchers a chance to show off some of their work and employees the opportunity to see facilities they hadn't viewed before. The overall goal of the event was to highlight employee innovation and collaboration in everyday work that will help shape the future of Kennedy and the agency.</t>
  </si>
  <si>
    <t>h_QF5PPSO0k</t>
  </si>
  <si>
    <t>2012 10 09</t>
  </si>
  <si>
    <t>https://youtu.be/orA33vVJfo0</t>
  </si>
  <si>
    <t>CST-100 Mock-Up Undergoes Airbag Stabilization Testing</t>
  </si>
  <si>
    <t>The Boeing Company's mock-up CST-100 spacecraft was put through water landing development tests Oct. 1-5, 2012, at Bigelow Aerospace's headquarters outside of Las Vegas. Engineers with Bigelow have dropped the capsule-shaped spacecraft into an outdoor pool from a crane more than four times to assess whether the airbags will stabilize the capsule during landings as planned. The tests are part of Boeing's ongoing work supporting its funded Space Act Agreement (SAA) with NASA's Commercial Crew Program (CCP) during the agency's Commercial Crew Integrated Capability (CCiCap) development phase. 
Program Contact: Candrea Thomas, 321-867-2468 HQ Contact: Trent Perrotto, 202-358-0321</t>
  </si>
  <si>
    <t>orA33vVJfo0</t>
  </si>
  <si>
    <t>2012 10 08</t>
  </si>
  <si>
    <t>https://youtu.be/WgpMKdQDjw4</t>
  </si>
  <si>
    <t>SpaceX-1 Launch</t>
  </si>
  <si>
    <t>SpaceX launches a Falcon 9 rocket carrying a Dragon spacecraft on a cargo mission to the International Space Station on Oct. 7, 2012.</t>
  </si>
  <si>
    <t>WgpMKdQDjw4</t>
  </si>
  <si>
    <t>2012 10 05</t>
  </si>
  <si>
    <t>https://youtu.be/IqPF3cuxu9I</t>
  </si>
  <si>
    <t>SpaceX Readies Operational Flight</t>
  </si>
  <si>
    <t>SpaceX is set to launch the first of a dozen operational missions for NASA to deliver more than 1,000 pounds of supplies to the International Space Station on Oct. 7. Launch time is 8:35 p.m. from Space Launch Complex 40 at Cape Canaveral Air Force Station in Florida, just a few miles south of the space shuttle launch pads.</t>
  </si>
  <si>
    <t>IqPF3cuxu9I</t>
  </si>
  <si>
    <t>2012 09 27</t>
  </si>
  <si>
    <t>https://youtu.be/hydyW4Vj8dM</t>
  </si>
  <si>
    <t>Tribute to the Directors of the Kennedy Space Center</t>
  </si>
  <si>
    <t>Ten center directors have led the Kennedy Space Center workforce during the spaceport's first 50 years.</t>
  </si>
  <si>
    <t>hydyW4Vj8dM</t>
  </si>
  <si>
    <t>2012 09 20</t>
  </si>
  <si>
    <t>https://youtu.be/RXyzDUpE9Ks</t>
  </si>
  <si>
    <t>Space Center Co-Exists With Nature</t>
  </si>
  <si>
    <t>As part of Kennedy Space Center's first Innovation Expo on Sept. 6, aquatic biologists with Inomedic Health Applications took employees on a field-guided boat tour of the unique estuarine ecosystems that are protected from commercial and residential development. They also outlined some of the innovative partnerships Kennedy has established with other government agencies and universities to monitor the ecosystem.</t>
  </si>
  <si>
    <t>RXyzDUpE9Ks</t>
  </si>
  <si>
    <t>2012 09 19</t>
  </si>
  <si>
    <t>https://youtu.be/JyuXA5rNUaQ</t>
  </si>
  <si>
    <t>Space Shuttle Endeavour Heads West</t>
  </si>
  <si>
    <t>NASA's Shuttle Carrier Aircraft, a modified 747, flew retired shuttle Endeavour from Kennedy Space Center in Florida to Houston on Sept. 19, 2012, to complete the first leg of Endeavour's trip to Los Angeles where it will be put on public display.</t>
  </si>
  <si>
    <t>JyuXA5rNUaQ</t>
  </si>
  <si>
    <t>https://youtu.be/VUmeKMJn_Uc</t>
  </si>
  <si>
    <t>Endeavour Begins Ferry Flight to LA</t>
  </si>
  <si>
    <t>Space shuttle Endeavour and the Shuttle Carrier Aircraft took off Wednesday morning, Sept. 19, from NASA's Kennedy Space Center in Florida to begin the first leg of a mission to deliver the retired shuttle to Los Angeles where it will go on display. The flight will be the last ferry flight of the space shuttle era, capping 35 years of shuttles riding atop modified 747s, counting the approach and landing tests conducted by Enterprise in 1977.</t>
  </si>
  <si>
    <t>VUmeKMJn_Uc</t>
  </si>
  <si>
    <t>2012 09 18</t>
  </si>
  <si>
    <t>https://youtu.be/nDywZ-nhIb4</t>
  </si>
  <si>
    <t>Endeavour Mated to SCA Time-Lapse</t>
  </si>
  <si>
    <t>At the Shuttle Landing Facility at NASA's Kennedy Space Center in Florida, space shuttle Endeavour is mounted atop NASA's Shuttle Carrier Aircraft, or SCA, in preparation for its ferry flight to California. The SCA, a modified 747 jetliner, will fly Endeavour to Los Angeles where it will be placed on public display at the California Science Center. This is the final ferry flight scheduled in the Space Shuttle Program era.</t>
  </si>
  <si>
    <t>nDywZ-nhIb4</t>
  </si>
  <si>
    <t>2012 09 14</t>
  </si>
  <si>
    <t>https://youtu.be/-A5W6aLuo4E</t>
  </si>
  <si>
    <t>Rocket U  Engineers Push New Limits</t>
  </si>
  <si>
    <t>Rocket University participants at NASA's Kennedy Space Center in Florida created an instrumented capsule and dropped it from a high-altitude balloon during a recent test to find out how the aerodynamic payload would handle during free-fall. The engineering program allows participants to work in fields outside their specialties to broaden their experience base.</t>
  </si>
  <si>
    <t>-A5W6aLuo4E</t>
  </si>
  <si>
    <t>https://youtu.be/K4J6iF6_L9Y</t>
  </si>
  <si>
    <t>Endeavour's New Mission of Inspiration</t>
  </si>
  <si>
    <t>Space shuttle Endeavour completes final preparations for trip to California museum where it will begin a new career inspiring visitors to the wonder of space exploration.</t>
  </si>
  <si>
    <t>K4J6iF6_L9Y</t>
  </si>
  <si>
    <t>2012 09 13</t>
  </si>
  <si>
    <t>https://youtu.be/1iivVQonV_0</t>
  </si>
  <si>
    <t>1iivVQonV_0</t>
  </si>
  <si>
    <t>2012 09 12</t>
  </si>
  <si>
    <t>https://youtu.be/y8IQw4dn-JE</t>
  </si>
  <si>
    <t>R2-D2 to Curiosity  Good Fiction to Great Science</t>
  </si>
  <si>
    <t>NASA goes to Star Wars Celebration VI to discuss with fans the inspiration of space exploration. NASA's Curiosity rover is firing imaginations again as it moves across Mars acting in some ways like the fictional robots from "Star Wars."</t>
  </si>
  <si>
    <t>y8IQw4dn-JE</t>
  </si>
  <si>
    <t>2012 08 30</t>
  </si>
  <si>
    <t>https://youtu.be/rMapGIBF3Gc</t>
  </si>
  <si>
    <t>NASA Launch Manager on RBSP Success</t>
  </si>
  <si>
    <t>Tim Dunn, NASA launch manager for RBSP, talks about the smooth countdown and successful launch of the mission.</t>
  </si>
  <si>
    <t>rMapGIBF3Gc</t>
  </si>
  <si>
    <t>https://youtu.be/SvVbNbYtxYw</t>
  </si>
  <si>
    <t>RBSP Twin Probes Reach Space</t>
  </si>
  <si>
    <t>The spacecraft have successfully separated from the Centaur upper stage.</t>
  </si>
  <si>
    <t>SvVbNbYtxYw</t>
  </si>
  <si>
    <t>https://youtu.be/R4qiBeCCig0</t>
  </si>
  <si>
    <t>Launch Team Gives  Go  to RBSP</t>
  </si>
  <si>
    <t>The launch teams report they are ready to launch RBSP on an Atlas V rocket.</t>
  </si>
  <si>
    <t>R4qiBeCCig0</t>
  </si>
  <si>
    <t>https://youtu.be/9mlaQothGWA</t>
  </si>
  <si>
    <t>Launch of RBSP</t>
  </si>
  <si>
    <t>The RBSP mission begins with a thundering liftoff from SLC-41 at Cape Canaveral AFS on Aug. 30, 2012.</t>
  </si>
  <si>
    <t>9mlaQothGWA</t>
  </si>
  <si>
    <t>https://youtu.be/2AXv-FO5dtE</t>
  </si>
  <si>
    <t>RBSP Launch Coverage Begins</t>
  </si>
  <si>
    <t>NASA TV begins coverage of the countdown for the RBSP mission on Aug. 30, 2012, from Cape Canaveral Air Force Station in Florida.</t>
  </si>
  <si>
    <t>2AXv-FO5dtE</t>
  </si>
  <si>
    <t>2012 08 25</t>
  </si>
  <si>
    <t>https://youtu.be/-As3rpz115A</t>
  </si>
  <si>
    <t>RBSP Second Launch Attempt Scrubbed for Weather</t>
  </si>
  <si>
    <t>The second attempt to launch the Atlas V rocket set to carry the twin RBSP spacecraft was scrubbed Aug. 25 due to weather.</t>
  </si>
  <si>
    <t>-As3rpz115A</t>
  </si>
  <si>
    <t>2012 08 24</t>
  </si>
  <si>
    <t>https://youtu.be/at9o_gjBrEU</t>
  </si>
  <si>
    <t>RBSP Launch Attempt Scrubbed</t>
  </si>
  <si>
    <t>NASA Launch Manager Tim Dunn discusses the Aug. 24 scrubbed launch attempt of the Atlas V rocket.</t>
  </si>
  <si>
    <t>at9o_gjBrEU</t>
  </si>
  <si>
    <t>2012 08 23</t>
  </si>
  <si>
    <t>https://youtu.be/H7Gfoxs3TEk</t>
  </si>
  <si>
    <t>Tour Kennedy Space Center Virtually</t>
  </si>
  <si>
    <t>Google Street View now gives you an opportunity for a behind-the-scenes tour of NASA's Kennedy Space Center online.</t>
  </si>
  <si>
    <t>H7Gfoxs3TEk</t>
  </si>
  <si>
    <t>2012 08 22</t>
  </si>
  <si>
    <t>https://youtu.be/a6mC2TsTq-A</t>
  </si>
  <si>
    <t>RBSP  Studying the Sun's Influence on Earth</t>
  </si>
  <si>
    <t>Two wide rings of high-intensity particles encircle our planet's equator. Known as the Van Allen Radiation Belts, their behavior in response to the sun directly impacts life on Earth and in orbit. NASA's two-year Radiation Belt Storm Probes mission aims to study this ever-changing space environment in greater detail than ever before.</t>
  </si>
  <si>
    <t>a6mC2TsTq-A</t>
  </si>
  <si>
    <t>2012 08 21</t>
  </si>
  <si>
    <t>https://youtu.be/H41R9qX6gzg</t>
  </si>
  <si>
    <t>RBSP  Ready For Launch</t>
  </si>
  <si>
    <t>See some of the work that went into preparing the Radiation Belt Storm Probes mission and the United Launch Alliance Atlas V that will send the spacecraft into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</si>
  <si>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H41R9qX6gzg</t>
  </si>
  <si>
    <t>2012 08 20</t>
  </si>
  <si>
    <t>https://youtu.be/QAgBOJAwmFk</t>
  </si>
  <si>
    <t>National Space Club Florida</t>
  </si>
  <si>
    <t>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</si>
  <si>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QAgBOJAwmFk</t>
  </si>
  <si>
    <t>2012 08 16</t>
  </si>
  <si>
    <t>https://youtu.be/ZJSB4eaZvO4</t>
  </si>
  <si>
    <t>CCP Trailer</t>
  </si>
  <si>
    <t>ZJSB4eaZvO4</t>
  </si>
  <si>
    <t>2012 08 15</t>
  </si>
  <si>
    <t>https://youtu.be/z2z-H3AFbIk</t>
  </si>
  <si>
    <t>In Their Own Words  Nicole Stott</t>
  </si>
  <si>
    <t>NASA Astronaut Nicole Stott discusses her path to a spaceflight career, life aboard the International Space Station, the legacy of the Space Shuttle Program, and more.</t>
  </si>
  <si>
    <t>z2z-H3AFbIk</t>
  </si>
  <si>
    <t>https://youtu.be/4_ul4_9rzPI</t>
  </si>
  <si>
    <t>NASA's Mars Science Laboratory (MSL) Final Countdown to Launch</t>
  </si>
  <si>
    <t>4_ul4_9rzPI</t>
  </si>
  <si>
    <t>2012 08 07</t>
  </si>
  <si>
    <t>https://youtu.be/B0gJeMd1KHc</t>
  </si>
  <si>
    <t>International Space University Closing Ceremony - 2012</t>
  </si>
  <si>
    <t>An International Space University participant addresses his classmates during the closing ceremonies.</t>
  </si>
  <si>
    <t>B0gJeMd1KHc</t>
  </si>
  <si>
    <t>2012 08 04</t>
  </si>
  <si>
    <t>https://youtu.be/u25lBSHAsCU</t>
  </si>
  <si>
    <t>NASA Announces Next Steps in Effort to Launch Americans from U.S. Soil</t>
  </si>
  <si>
    <t>u25lBSHAsCU</t>
  </si>
  <si>
    <t>2012 08 03</t>
  </si>
  <si>
    <t>https://youtu.be/CMMDGatv2lE</t>
  </si>
  <si>
    <t>CCiCap  SNC</t>
  </si>
  <si>
    <t>NASA announces its plans to partner with industry rocket and spacecraft developers for the Commercial Crew integrated Capability (CCiCap) initiative to propel America's next human space transportation system to low Earth orbit forward.</t>
  </si>
  <si>
    <t>CMMDGatv2lE</t>
  </si>
  <si>
    <t>https://youtu.be/FiqeUx6s81A</t>
  </si>
  <si>
    <t>CCiCap  Boeing</t>
  </si>
  <si>
    <t>FiqeUx6s81A</t>
  </si>
  <si>
    <t>https://youtu.be/UiRXVmx4RO8</t>
  </si>
  <si>
    <t>CCiCap  SpaceX</t>
  </si>
  <si>
    <t>UiRXVmx4RO8</t>
  </si>
  <si>
    <t>2012 08 02</t>
  </si>
  <si>
    <t>https://youtu.be/uJCwEFX2yRY</t>
  </si>
  <si>
    <t>Google Maps in Partnership with NASA</t>
  </si>
  <si>
    <t>With its seaside location and unique facilities steeped in history, NASA's Kennedy Space Center in Florida boasts amazing views typically seen only by employees and astronauts. Now space enthusiasts around the world can take a virtual walk through the transfer aisle of the cavernous Vehicle Assembly Building, stand at the top of Launch Pad 39A, and more, thanks to a new partnership between Kennedy and Google Maps with Street View.</t>
  </si>
  <si>
    <t>uJCwEFX2yRY</t>
  </si>
  <si>
    <t>2012 07 20</t>
  </si>
  <si>
    <t>https://youtu.be/AHUDQ30slCU</t>
  </si>
  <si>
    <t>Markers Preserve History at Shuttle Runway</t>
  </si>
  <si>
    <t>Etchings and granite pavers mark where the space shuttles' last missions came to an end.</t>
  </si>
  <si>
    <t>AHUDQ30slCU</t>
  </si>
  <si>
    <t>2012 07 13</t>
  </si>
  <si>
    <t>https://youtu.be/WujwkKxR-e4</t>
  </si>
  <si>
    <t>MSL Launch and Landing</t>
  </si>
  <si>
    <t>MSL launch and animation of landing on Mars. NASA's Mars Science Laboratory (MSL) spacecraft -- which includes the newest Red Planet rover, the car-sized Curiosity -  launched atop an Atlas V rocket from Space Launch Complex 41 at Cape Canaveral Air Force Station, Florida on November 26, 2011 at 10:02am Eastern Standard Time.</t>
  </si>
  <si>
    <t>WujwkKxR-e4</t>
  </si>
  <si>
    <t>https://youtu.be/NbaNleplrjs</t>
  </si>
  <si>
    <t>Resolve Rover Begins Testing</t>
  </si>
  <si>
    <t>NASA is developing a robotic explorer at Kennedy Space Center in Florida to track down water on the moon, Mars or on an asteroid. The Canadian Space Agency provided Artemis Jr., which is the rover for the payload, the onboard drill and sample transfer system, as well as avionics microprocessors.</t>
  </si>
  <si>
    <t>NbaNleplrjs</t>
  </si>
  <si>
    <t>2012 07 11</t>
  </si>
  <si>
    <t>https://youtu.be/-4lktJBvKm8</t>
  </si>
  <si>
    <t>CCP  ATK Breakout Video</t>
  </si>
  <si>
    <t>NASA and Alliant Techsystems Inc. (ATK) of Promontory, Utah, signed a Space Act Agreement (SAA) in September 2011 for the company's Liberty Launch Vehicle. Under the unfunded agreement, NASA's Commercial Crew Program (CCP) and ATK are exchanging technical information to aid in the development of Liberty during Commercial Crew Development Round 2 (CCDev2).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</si>
  <si>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-4lktJBvKm8</t>
  </si>
  <si>
    <t>https://youtu.be/prPmciueUHA</t>
  </si>
  <si>
    <t>CCP  ULA Breakout Video</t>
  </si>
  <si>
    <t>NASA and United Launch Alliance (ULA) of Centennial, Colo., signed a Space Act Agreement (SAA) in July 2011 regarding the company's Atlas V rocket. Under the unfunded agreement, ULA is sharing its work to human-rate the Atlas V with NASA's Commercial Crew Program (CCP) during Commercial Crew Development Round 2 (CCDev2).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</si>
  <si>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prPmciueUHA</t>
  </si>
  <si>
    <t>2012 07 06</t>
  </si>
  <si>
    <t>https://youtu.be/SsWS9hBDtyI</t>
  </si>
  <si>
    <t>Kennedy Space Center  Establishing a New Gateway to Space</t>
  </si>
  <si>
    <t>A year after space shuttle Atlantis touched down to end the shuttle program, NASA's Kennedy Space Center in Florida is preparing for future missions. Facilities are being remodeled to host a variety of spacecraft, rockets and companies to continue humanity's great adventure into space.</t>
  </si>
  <si>
    <t>SsWS9hBDtyI</t>
  </si>
  <si>
    <t>2012 07 02</t>
  </si>
  <si>
    <t>https://youtu.be/DisyKIiceUk</t>
  </si>
  <si>
    <t>NASA Celebrates Orion Milestone</t>
  </si>
  <si>
    <t>The Orion capsule that will make the first flight test into space was celebrated Monday morning as the cornerstone of a new era of exploration for America's space program.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</si>
  <si>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DisyKIiceUk</t>
  </si>
  <si>
    <t>https://youtu.be/isHaxAVKOx0</t>
  </si>
  <si>
    <t>CCP  SpaceX Breakout Video</t>
  </si>
  <si>
    <t>NASA and Space Exploration Technologies (SpaceX), of Hawthorne, Calif., signed a funded Space Act Agreement (SAA) in April 2011 for the company's Dragon capsule. Under the $75 million agreement, NASA's Commercial Crew Program (CCP) and SpaceX are working to outfit Dragon with life support systems and a launch abort system during Commercial Crew Development Round 2 (CCDev2).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</si>
  <si>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isHaxAVKOx0</t>
  </si>
  <si>
    <t>2012 06 29</t>
  </si>
  <si>
    <t>https://youtu.be/WrGEU5irS8o</t>
  </si>
  <si>
    <t>Kennedy Space Center 50th Anniversary Video</t>
  </si>
  <si>
    <t>WrGEU5irS8o</t>
  </si>
  <si>
    <t>2012 06 25</t>
  </si>
  <si>
    <t>https://youtu.be/4ehCMvZX1SE</t>
  </si>
  <si>
    <t>CCP  Sierra Nevada Corp. Breakout Video</t>
  </si>
  <si>
    <t>NASA and Sierra Nevada Corp. (SNC) of Louisville, Colo., signed a funded Space Act Agreement (SAA) in March 2011 for the company's Dream Chaser spacecraft. Under the $80 million agreement, NASA's Commercial Crew Program (CCP) and Sierra Nevada are working to advance the company's reusable lifting-body spacecraft during Commercial Crew Development Round 2 (CCDev2).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</si>
  <si>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4ehCMvZX1SE</t>
  </si>
  <si>
    <t>https://youtu.be/qqNxssB26bo</t>
  </si>
  <si>
    <t>CCP  Boeing Breakout Video</t>
  </si>
  <si>
    <t>NASA and The Boeing Company of Houston signed a funded Space Act Agreement (SAA) in March 2011 for the company's CST-100. Under the $92.3 million agreement, NASA's Commercial Crew Program (CCP) and Boeing are working to advance the company's Commercial Space Transportation System (CST) during Commercial Crew Development Round 2 (CCDev2)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</si>
  <si>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qqNxssB26bo</t>
  </si>
  <si>
    <t>2012 06 20</t>
  </si>
  <si>
    <t>https://youtu.be/dlod2pBuLJg</t>
  </si>
  <si>
    <t>NuSTAR Transport and Mate in Time-lapse</t>
  </si>
  <si>
    <t>The Orbital Sciences Pegasus XL rocket carrying NASA's NuSTAR spacecraft is mated to the L-1011 carrier aircraft.</t>
  </si>
  <si>
    <t>dlod2pBuLJg</t>
  </si>
  <si>
    <t>2012 06 19</t>
  </si>
  <si>
    <t>https://youtu.be/9VMiKodZ3ow</t>
  </si>
  <si>
    <t>Boeing with Pratt &amp; Whitney LAS Hot Fire Test</t>
  </si>
  <si>
    <t>Pratt &amp; Whitney Rocketdyne successfully hot-fired the launch abort engine it is developing for The Boeing Company's CST-100 spacecraft in Canoga Park, California, on March 9.</t>
  </si>
  <si>
    <t>9VMiKodZ3ow</t>
  </si>
  <si>
    <t>2012 06 18</t>
  </si>
  <si>
    <t>https://youtu.be/isUsWZ9aVK4</t>
  </si>
  <si>
    <t>NuSTAR Arrives at Kwajalein</t>
  </si>
  <si>
    <t>The Orbital Sciences Pegasus XL rocket carrying NASA's NuSTAR spacecraft arrives at Kwajalein aboard the L-1011 carrier aircraft known as 'Stargazer.'
This video contains natural sound only.</t>
  </si>
  <si>
    <t>isUsWZ9aVK4</t>
  </si>
  <si>
    <t>2012 06 14</t>
  </si>
  <si>
    <t>https://youtu.be/blUCRZytZCU</t>
  </si>
  <si>
    <t>NuSTAR Spacecraft and Vehicle Flow</t>
  </si>
  <si>
    <t>Engineers took special care when preparing the NuSTAR spacecraft and Pegasus rocket for launch.</t>
  </si>
  <si>
    <t>blUCRZytZCU</t>
  </si>
  <si>
    <t>https://youtu.be/1lByXTVwvRM</t>
  </si>
  <si>
    <t>NuSTAR Launch Highlights</t>
  </si>
  <si>
    <t>The NuSTAR mission successfuly launched June 13, 2012, aboard a Pegasus rocket.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</si>
  <si>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1lByXTVwvRM</t>
  </si>
  <si>
    <t>2012 06 13</t>
  </si>
  <si>
    <t>https://youtu.be/swDmUBCB2DY</t>
  </si>
  <si>
    <t>NuSTAR Launch Coverage  Tim Dunn Post Launch Interview</t>
  </si>
  <si>
    <t>Tim Dunn of NASA's Launch Services Program discusses the successful launch of the NuSTAR spacecraft aboard a Pegasus rocket.</t>
  </si>
  <si>
    <t>swDmUBCB2DY</t>
  </si>
  <si>
    <t>https://youtu.be/eV95tzgh3rs</t>
  </si>
  <si>
    <t>Launch of NuSTAR</t>
  </si>
  <si>
    <t>The Nuclear Spectroscopic Telescope Array begins its mission using high-energy x-rays to uncover some of the most powerful structures in the universe.</t>
  </si>
  <si>
    <t>eV95tzgh3rs</t>
  </si>
  <si>
    <t>2012 06 11</t>
  </si>
  <si>
    <t>https://youtu.be/t6pcgYHe0p0</t>
  </si>
  <si>
    <t>NuSTAR Webcast</t>
  </si>
  <si>
    <t>The Nuclear Spectroscopic Telescope Array, NuSTAR, will launch on a Pegasus rocket into Earth orbit where it will detect high-energy X-rays to uncover hidden black holes, exploded stars and other features of the universe.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</si>
  <si>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t6pcgYHe0p0</t>
  </si>
  <si>
    <t>2012 06 05</t>
  </si>
  <si>
    <t>https://youtu.be/Zfgu97xjGbU</t>
  </si>
  <si>
    <t>Boeing CST-100 Drop Test</t>
  </si>
  <si>
    <t>NASA's Commercial Crew Program (CCP): The Boeing Company recently demonstrated the performance of its CST-100 landing system with a parachute drop test over the Delamar Dry Lake Bed near Alamo, Nevada. One of the test's goals was to prove the parachute system could be re-used on successive missions.</t>
  </si>
  <si>
    <t>Zfgu97xjGbU</t>
  </si>
  <si>
    <t>2012 06 01</t>
  </si>
  <si>
    <t>https://youtu.be/CYppcUc36mg</t>
  </si>
  <si>
    <t>Preparing the Vehicle Assembly Building for the Future</t>
  </si>
  <si>
    <t>The iconic Vehicle Assembly Building at NASA's Kennedy Space Center in Florida is undergoing renovations to handle more rockets and spacecraft for the next generation of space explorers. The refurbishment includes modernizing the facility's infrastructure, including pulling out 50 miles of old cables.</t>
  </si>
  <si>
    <t>CYppcUc36mg</t>
  </si>
  <si>
    <t>2012 05 31</t>
  </si>
  <si>
    <t>https://youtu.be/L_VteT0rdy8</t>
  </si>
  <si>
    <t>SNC Performs Dream Chaser Captive-Carry</t>
  </si>
  <si>
    <t>Sierra Nevada Corporation (SNC) Space System's Dream 
Chaser design passed one of its most complex tests 
to date with a successful captive-carry test 
conducted near the Rocky Mountain Metropolitan 
Airport in Jefferson County, Colo., on May 29.
The captive-carry test marks the completion of 
another milestone for the Dream Chaser Space System 
as part of the Commercial Crew Development Round 2 
(CCDev2) agreement with NASA's Commercial Crew 
Program (CCP).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</si>
  <si>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L_VteT0rdy8</t>
  </si>
  <si>
    <t>2012 05 22</t>
  </si>
  <si>
    <t>https://youtu.be/4vkqBfv8OMM</t>
  </si>
  <si>
    <t>Launch of SpaceX Falcon 9</t>
  </si>
  <si>
    <t>The SpaceX Falcon 9 and Dragon capsule lift off May 22, 2012, from Cape Canaveral Air Force station in Florida to begin a demonstration mission to the International Space Station.</t>
  </si>
  <si>
    <t>4vkqBfv8OMM</t>
  </si>
  <si>
    <t>2012 05 21</t>
  </si>
  <si>
    <t>https://youtu.be/JG1-51ZCpwU</t>
  </si>
  <si>
    <t>Endeavour Powered Down Final Time</t>
  </si>
  <si>
    <t>Space shuttle Endeavour was turned off for the last time as technicians continue prepping the spacecraft for public display in Los Angeles.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</si>
  <si>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JG1-51ZCpwU</t>
  </si>
  <si>
    <t>2012 05 11</t>
  </si>
  <si>
    <t>https://youtu.be/CfamPxPI-CQ</t>
  </si>
  <si>
    <t>Dragon Flight Test Aims for Station Success</t>
  </si>
  <si>
    <t>SpaceX is preparing to launch its Dragon capsule on the second demonstration mission under NASA's COTS program. It is to carry cargo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</si>
  <si>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CfamPxPI-CQ</t>
  </si>
  <si>
    <t>https://youtu.be/XMCr04GXQeM</t>
  </si>
  <si>
    <t>Kennedy Space Center 2012 and Beyond</t>
  </si>
  <si>
    <t>NASA's Kennedy Space Center has been the starting point for many of humanity's greatest adventures. Now, it is adjusting its unique facilities to continue to host dramatic acheivements in the future.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</si>
  <si>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XMCr04GXQeM</t>
  </si>
  <si>
    <t>2012 05 02</t>
  </si>
  <si>
    <t>https://youtu.be/r-PDeZSsTqo</t>
  </si>
  <si>
    <t>In Their Own Words  Brent Jett</t>
  </si>
  <si>
    <t>Commercial Crew Program Deputy Manager Brent Jett discusses the importance of continuing research aboard the International Space Station and what the future holds for human spaceflight.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</si>
  <si>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r-PDeZSsTqo</t>
  </si>
  <si>
    <t>2012 05 01</t>
  </si>
  <si>
    <t>https://youtu.be/4lRA7xL_xgM</t>
  </si>
  <si>
    <t>Educational Launch of Nanosatellites</t>
  </si>
  <si>
    <t>NASA's CubeSat program helps students take part in space experiments.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</si>
  <si>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4lRA7xL_xgM</t>
  </si>
  <si>
    <t>2012 04 25</t>
  </si>
  <si>
    <t>https://youtu.be/s71kyRGy7FE</t>
  </si>
  <si>
    <t>Commercial Crew Program (CCP)  Launch Abort Systems</t>
  </si>
  <si>
    <t>s71kyRGy7FE</t>
  </si>
  <si>
    <t>2012 04 20</t>
  </si>
  <si>
    <t>https://youtu.be/M3Fg0XrQBmU</t>
  </si>
  <si>
    <t>Kennedy Space Center's Countdown Clock</t>
  </si>
  <si>
    <t>The blue countdown clock at NASA's Kennedy Space Center in Florida served a vital role in the Space Shuttle Program to coordinate launch activities.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</si>
  <si>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M3Fg0XrQBmU</t>
  </si>
  <si>
    <t>2012 04 17</t>
  </si>
  <si>
    <t>https://youtu.be/vYSPGCOFNzQ</t>
  </si>
  <si>
    <t>Shuttle Discovery Departs Kennedy</t>
  </si>
  <si>
    <t>Space shuttle Discovery left NASA's Kennedy Space Center on Tuesday, April 17, 2012, to go on public display at the Smithsonian's Udvar-Hazy Center outside Washington.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</si>
  <si>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vYSPGCOFNzQ</t>
  </si>
  <si>
    <t>https://youtu.be/6GW7FGt19wA</t>
  </si>
  <si>
    <t>Discovery Departs Kennedy (Natural Sound)</t>
  </si>
  <si>
    <t>Space shuttle Discovery left NASA's Kennedy Space Center on Tuesday, April 17, 2012, to go on public display at the Smithsonian's Udvar-Hazy Center outside Washington.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</si>
  <si>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6GW7FGt19wA</t>
  </si>
  <si>
    <t>https://youtu.be/HneS8n6xIOM</t>
  </si>
  <si>
    <t>Aerial Footage of Shuttle Discovery Atop a NASA Shuttle Carrier Aircraft</t>
  </si>
  <si>
    <t>Space shuttle Discovery was mounted to the top of a modified 747 for its ferry flight to Washington, D.C.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</si>
  <si>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HneS8n6xIOM</t>
  </si>
  <si>
    <t>https://youtu.be/hBN1LHKGjXM</t>
  </si>
  <si>
    <t>Timelapse Footage  Space Shuttle Discovery Arrives at the Mate Demate Device</t>
  </si>
  <si>
    <t>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</si>
  <si>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hBN1LHKGjXM</t>
  </si>
  <si>
    <t>2012 04 06</t>
  </si>
  <si>
    <t>https://youtu.be/objbcnqCmXk</t>
  </si>
  <si>
    <t>Space Shuttle Era  Ferry Flights</t>
  </si>
  <si>
    <t>When a shuttle orbiter travels from one place to another on Earth, it needs a lift -- a 'ferry flight' -- aboard the Shuttle Carrier Aircraft.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</si>
  <si>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objbcnqCmXk</t>
  </si>
  <si>
    <t>2012 03 28</t>
  </si>
  <si>
    <t>https://youtu.be/TGMWdtQYkbc</t>
  </si>
  <si>
    <t>Emergency Egress Slidewire Baskets Released for the Final Time</t>
  </si>
  <si>
    <t>At Launch Pad 39A at NASA's Kennedy Space Center in Florida, the seven slidewire baskets travel down to the ground for the final time after being released by technicians from the 195-foot level.  The system of seven slidewire baskets at launch pads A and B provided an escape route for astronauts and personnel inside the orbiter  or on the orbiter access arm.  The baskets are suspended from slidewires that extend from the pad's Fixed Service Structure to a landing zone 1,200 feet to the west.  Each basket could hold up to three people.  A braking system catch net and drag chain slowed and then halted the baskets sliding down the wire at approximately 55 miles per hour in about half a minute.</t>
  </si>
  <si>
    <t>TGMWdtQYkbc</t>
  </si>
  <si>
    <t>2012 03 23</t>
  </si>
  <si>
    <t>https://youtu.be/MnJ6Aexdldg</t>
  </si>
  <si>
    <t>50 Years of Progress  Women@KSC</t>
  </si>
  <si>
    <t>MnJ6Aexdldg</t>
  </si>
  <si>
    <t>2012 03 09</t>
  </si>
  <si>
    <t>https://youtu.be/o1WcJDMlfCA</t>
  </si>
  <si>
    <t>Space Shuttle Era  Power Down</t>
  </si>
  <si>
    <t>Two of NASA's storied space shuttle orbiters, Discovery and Atlantis, have been permanently powered down.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</si>
  <si>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o1WcJDMlfCA</t>
  </si>
  <si>
    <t>2012 02 28</t>
  </si>
  <si>
    <t>https://youtu.be/4J5q2nMeqoQ</t>
  </si>
  <si>
    <t xml:space="preserve">Commercial Crew Program  Taking America To New Heights </t>
  </si>
  <si>
    <t>NASA's Commercial Crew Program (CCP) is taking America to new heights with its Commercial Crew Development Round 2 (CCDev2) partners. In 2011, NASA entered into funded Space Act Agreements (SAAs) with four industry partners, Blue Origin of Kent, Wash., The Boeing Co. of Houston, Sierra Nevada Corp. of Louisville, Colo., and Space Exploration Technologies (SpaceX) of Hawthorne, Calif., to aid in the development of commercial rockets and spacecraft for human transportation capabilities. The agency also entered into unfunded SAAs with three industry partners, Alliant Techsystems (ATK) Inc. of Promontory, Utah, United Launch Alliance (ULA) of Centennial, Colo., and Excalibur Almaz of Houston, in order to exchange information about concepts and designs of transportation systems.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</si>
  <si>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4J5q2nMeqoQ</t>
  </si>
  <si>
    <t>2012 02 22</t>
  </si>
  <si>
    <t>https://youtu.be/fpUOOBNK_vM</t>
  </si>
  <si>
    <t>Astronauts Mark 50 Years of Americans in Orbit</t>
  </si>
  <si>
    <t>Former astronauts John Glenn and Scott Carpenter took part in weekend events (Feb. 17-18) at NASA's Kennedy Space Center in Florida to celebrate the 50th anniversary of Americans in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</si>
  <si>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fpUOOBNK_vM</t>
  </si>
  <si>
    <t>2012 02 16</t>
  </si>
  <si>
    <t>https://youtu.be/rlk6ZyBap6U</t>
  </si>
  <si>
    <t>50th Anniversary of Mercury Orbital Flight</t>
  </si>
  <si>
    <t>NASA celebrates the 50th anniversary of the first orbital flight by Mercury astronaut John Glenn.</t>
  </si>
  <si>
    <t>rlk6ZyBap6U</t>
  </si>
  <si>
    <t>2012 02 07</t>
  </si>
  <si>
    <t>https://youtu.be/nZ9NKStsYRc</t>
  </si>
  <si>
    <t>Space Shuttle Era  Crew Quarters</t>
  </si>
  <si>
    <t>Take a rare look inside Astronaut Crew Quarters with former shuttle commander Bob Cabana as he shows the area where flight crews relaxed, ate and exercised in the days before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</si>
  <si>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nZ9NKStsYRc</t>
  </si>
  <si>
    <t>2012 02 01</t>
  </si>
  <si>
    <t>https://youtu.be/1zjfXm07Dg8</t>
  </si>
  <si>
    <t>M113  Armored Rescuer</t>
  </si>
  <si>
    <t>The space shuttle required a unique rescue vehicle, one strong enough to bull its way into a launch pad and carry a flight crew and firefighters to safety. The answer is a group of M113 armored personnel carriers.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</si>
  <si>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1zjfXm07Dg8</t>
  </si>
  <si>
    <t>2012 01 27</t>
  </si>
  <si>
    <t>https://youtu.be/uSwwYl3lRtc</t>
  </si>
  <si>
    <t>In Their Own Words  Astronaut Chris Hadfield</t>
  </si>
  <si>
    <t>Astronaut Chris Hadfield talks about becoming an astronaut, what he looked forward to when he went into space and the challenges of his career.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</si>
  <si>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uSwwYl3lRtc</t>
  </si>
  <si>
    <t>2012 01 19</t>
  </si>
  <si>
    <t>https://youtu.be/K5mdGyAgrwg</t>
  </si>
  <si>
    <t>Space Shuttle Atlantis Groundbreaking Event</t>
  </si>
  <si>
    <t>A groundbreaking ceremony officially launched construction of space shuttle Atlantis' future home at the Kennedy Space Center Visitor Complex.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</si>
  <si>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K5mdGyAgrwg</t>
  </si>
  <si>
    <t>2012 01 06</t>
  </si>
  <si>
    <t>https://youtu.be/fFsHG8JEaA0</t>
  </si>
  <si>
    <t>KSC's Propellant North Facility- LEED Building Sets Green Standard</t>
  </si>
  <si>
    <t>fFsHG8JEaA0</t>
  </si>
  <si>
    <t>2011 12 16</t>
  </si>
  <si>
    <t>https://youtu.be/0NXWL99lcJs</t>
  </si>
  <si>
    <t>Space Shuttle Era  External Tank and Solid Rocket Boosters</t>
  </si>
  <si>
    <t>The space shuttle relied on an external tank and a pair of solid rocket boosters to get into orbit and carry out its missions.</t>
  </si>
  <si>
    <t>0NXWL99lcJs</t>
  </si>
  <si>
    <t>2011 12 15</t>
  </si>
  <si>
    <t>https://youtu.be/-Fi1UNsr1ek</t>
  </si>
  <si>
    <t>In Their Own Words  Astronaut Barbara Morgan</t>
  </si>
  <si>
    <t>Astronaut Barbara Morgan discusses spaceflight and her STS-118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</si>
  <si>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-Fi1UNsr1ek</t>
  </si>
  <si>
    <t>2011 12 14</t>
  </si>
  <si>
    <t>https://youtu.be/iTtti4JKbUA</t>
  </si>
  <si>
    <t>In Their Own Words  Ed Mango</t>
  </si>
  <si>
    <t>Commercial Crew Program Manager Ed Mango discusses joining NASA, the challenges of the new program and what he learned from past programs.</t>
  </si>
  <si>
    <t>iTtti4JKbUA</t>
  </si>
  <si>
    <t>2011 12 02</t>
  </si>
  <si>
    <t>https://youtu.be/GYyoOkv5ahk</t>
  </si>
  <si>
    <t>Time Lapse  Mobile Launcher Moves</t>
  </si>
  <si>
    <t>The mobile launcher returned from Launch Pad 39B at NASA's Kennedy Space Center in Florida following two weeks of structural and other testing. The 355-foot-tall structure is to be used by the Space Launch System.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</si>
  <si>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GYyoOkv5ahk</t>
  </si>
  <si>
    <t>2011 11 26</t>
  </si>
  <si>
    <t>https://youtu.be/5Wpo_VVhSZ0</t>
  </si>
  <si>
    <t>MSL  Interview with Launch Manager Omar Baez</t>
  </si>
  <si>
    <t>Launch Commentator George Diller interviews MSL Launch Manager Omar Baez.</t>
  </si>
  <si>
    <t>5Wpo_VVhSZ0</t>
  </si>
  <si>
    <t>https://youtu.be/Fxzwf99_feo</t>
  </si>
  <si>
    <t>MSL Spacecraft Mars Bound</t>
  </si>
  <si>
    <t>The Mars Science Laboratory spacecraft separates and heads on its way to Mars.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</si>
  <si>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Fxzwf99_feo</t>
  </si>
  <si>
    <t>https://youtu.be/xTyWl8TPNBM</t>
  </si>
  <si>
    <t>MSL  Go  for Launch Poll</t>
  </si>
  <si>
    <t>Launch team poll gives the Atlas V and MSL spacecraft a "go" for liftoff.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</si>
  <si>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xTyWl8TPNBM</t>
  </si>
  <si>
    <t>https://youtu.be/1QCNsKricls</t>
  </si>
  <si>
    <t>Mars Science Laboratory Launch</t>
  </si>
  <si>
    <t>Atlas V roars off the launch pad sending NASA's next Mars rover toward the Red Planet.</t>
  </si>
  <si>
    <t>1QCNsKricls</t>
  </si>
  <si>
    <t>https://youtu.be/6H6M2NzzOko</t>
  </si>
  <si>
    <t>MSL Launch Day Intro</t>
  </si>
  <si>
    <t>NASA Launch Commentator George Diller opens launch coverage.</t>
  </si>
  <si>
    <t>6H6M2NzzOko</t>
  </si>
  <si>
    <t>2011 11 23</t>
  </si>
  <si>
    <t>https://youtu.be/5K4rjuPsYr8</t>
  </si>
  <si>
    <t>In Their Own Words  MSL Launch Director Omar Baez</t>
  </si>
  <si>
    <t>Omar Baez, the launch director for NASA's Mars Science Laboratory, discusses the challenges and rewards that come with dispatching a 1-ton rover to the surface of another world. Baez, part of NASA's Launch Services Program, has taken part in the launches of the all the rovers operating on Mars.</t>
  </si>
  <si>
    <t>5K4rjuPsYr8</t>
  </si>
  <si>
    <t>2011 11 22</t>
  </si>
  <si>
    <t>https://youtu.be/HDXl_SOjUV0</t>
  </si>
  <si>
    <t>MSL Spacecraft and Vehicle Flow</t>
  </si>
  <si>
    <t>NASA's latest rover, Curiosity, is ready to launch atop an Atlas V rocket to begin its trip to Mars.</t>
  </si>
  <si>
    <t>HDXl_SOjUV0</t>
  </si>
  <si>
    <t>2011 11 21</t>
  </si>
  <si>
    <t>https://youtu.be/BfKWLKWKPIE</t>
  </si>
  <si>
    <t>Mars Science Laboratory Webcast</t>
  </si>
  <si>
    <t>The Mars Science Laboratory Curiosity rover is poised to liftoff on an Atlas V rocket bound for the red planet on an exploration mission unprecedented in goals and machinery. The wheeled robot is carrying a suite of 10 instruments and even a laser to research the Martian past.</t>
  </si>
  <si>
    <t>BfKWLKWKPIE</t>
  </si>
  <si>
    <t>2011 11 18</t>
  </si>
  <si>
    <t>https://youtu.be/bZBWk6UJxu4</t>
  </si>
  <si>
    <t>Mobile Launcher Moves to Launch Pad</t>
  </si>
  <si>
    <t>The mobile launcher that will host NASA's Space Launch System and new Orion spacecraft was moved to Launch Pad 39B at NASA's Kennedy Space Center in Florida to begin two weeks of structural and systems tests. This is the first time the ML was moved that far. The 6.75 million-pound structure rode to the pad atop one of the crawler-transporters that carried the space shuttles and Saturn V rockets to the launch pads.</t>
  </si>
  <si>
    <t>bZBWk6UJxu4</t>
  </si>
  <si>
    <t>2011 11 17</t>
  </si>
  <si>
    <t>https://youtu.be/5s1pCS5coX4</t>
  </si>
  <si>
    <t>Time-Lapse  Mobile Launcher Moves to Launch Pad</t>
  </si>
  <si>
    <t>5s1pCS5coX4</t>
  </si>
  <si>
    <t>2011 11 16</t>
  </si>
  <si>
    <t>https://youtu.be/1UwFJML0fUI</t>
  </si>
  <si>
    <t>Space Shuttle Flyout  Astrovan</t>
  </si>
  <si>
    <t>The Astrovan has a long history of carrying astronauts on their journey to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</si>
  <si>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1UwFJML0fUI</t>
  </si>
  <si>
    <t>2011 11 15</t>
  </si>
  <si>
    <t>https://youtu.be/GREwspcOspM</t>
  </si>
  <si>
    <t>Space Shuttle Era  Launch Pads</t>
  </si>
  <si>
    <t>The launch pads for space shuttles don't fly, but they require meticulous care and precision to make a successful mission.</t>
  </si>
  <si>
    <t>GREwspcOspM</t>
  </si>
  <si>
    <t>2011 11 11</t>
  </si>
  <si>
    <t>https://youtu.be/Ny4IP7PF1Yw</t>
  </si>
  <si>
    <t>Launch Pad 39B Timelapse</t>
  </si>
  <si>
    <t>Ny4IP7PF1Yw</t>
  </si>
  <si>
    <t>2011 11 09</t>
  </si>
  <si>
    <t>https://youtu.be/4e-bqzaZh-o</t>
  </si>
  <si>
    <t>Space Launch System   Orion Test Flight Concepts</t>
  </si>
  <si>
    <t>NASA is focusing its 50 years of launch experience on hardware and systems that will revolutionize future processing and liftoffs. Instead of developing complex infrastructure centered on one vehicle, the 21st Century Ground Support Systems Program is building facilities, launch platforms and other structures that assemble, prepare and launch many kinds of rockets and spacecraft. The approach is expected to make NASA's Kenendy Space Center a multi-use spaceport suitable for commercial missions, sending astronauts to the International Space Station and eventually flights to distant space destinations including Mars.</t>
  </si>
  <si>
    <t>4e-bqzaZh-o</t>
  </si>
  <si>
    <t>2011 11 08</t>
  </si>
  <si>
    <t>https://youtu.be/KZZ6j4JZ6_0</t>
  </si>
  <si>
    <t>Commercial Crew Program Movie Trailer</t>
  </si>
  <si>
    <t>Inspired Beginnings...Exciting Future!
NASA's Commercial Crew Program is guiding development of several spacecraft and rockets expected to carry astronauts to the International Space Station by the middle of the decade. Based at NASA's Kennedy Space Center in Florida, the innovative program calls for a close partnership with private companies, allowing industry to advance technology and manufacturing while building on NASA's 50 years of human spaceflight. The result for NASA is expected to be more reliable, safer and more cost effective access to space. NASA also may be able to spur economic growth as potential new space markets are created. Once developed, crew transportation capabilities could become available to commercial and government customers.</t>
  </si>
  <si>
    <t>KZZ6j4JZ6_0</t>
  </si>
  <si>
    <t>2011 11 03</t>
  </si>
  <si>
    <t>https://youtu.be/mFnZParBQcg</t>
  </si>
  <si>
    <t>Mars Science Laboratory Moves to Pad 41</t>
  </si>
  <si>
    <t>Standing atop a payload transporter, the Atlas V rocket payload fairing containing NASA's Mars Science Laboratory (MSL) spacecraft rolls out of the Payload Hazardous Servicing Facility at Kennedy Space Center in Florida, beginning the move to Space Launch Complex 41.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</si>
  <si>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mFnZParBQcg</t>
  </si>
  <si>
    <t>2011 11 02</t>
  </si>
  <si>
    <t>https://youtu.be/pXxE-7hmcE0</t>
  </si>
  <si>
    <t>Commercial Crew Program Teaser - The Future is Coming</t>
  </si>
  <si>
    <t>NASA's Commercial Crew Program is guiding development of several spacecraft and rockets that are expected to carry astronauts to the International Space Station by the middle of the decade. Based at NASA's Kennedy Space Center in Florida, the innovative program calls for a close partnership with private companies that allows industry to make advances in technology and manufacturing while NASA blends in its own expertise gained during 50 years of launching humans into space. NASA has teamed up with several companies who are designing spacecraft ranging from capsules to space planes that can safely transport astronauts to and from the space station. In a break with past approaches, the companies are expected to use their craft to carry others into space, too. The result for NASA is expected to be more reliable, safer and more cost effective access to space.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</si>
  <si>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pXxE-7hmcE0</t>
  </si>
  <si>
    <t>2011 10 28</t>
  </si>
  <si>
    <t>https://youtu.be/Z7Wvh9OOeng</t>
  </si>
  <si>
    <t>NPP Interview  Garrett Skrobot</t>
  </si>
  <si>
    <t>Z7Wvh9OOeng</t>
  </si>
  <si>
    <t>https://youtu.be/UA1bi_-kHjw</t>
  </si>
  <si>
    <t>NPP Post-Launch Interview with Tim Dunn</t>
  </si>
  <si>
    <t>UA1bi_-kHjw</t>
  </si>
  <si>
    <t>https://youtu.be/aRaO9av02GQ</t>
  </si>
  <si>
    <t>NPP Spacecraft Separation</t>
  </si>
  <si>
    <t>aRaO9av02GQ</t>
  </si>
  <si>
    <t>https://youtu.be/cg9Z0-WEQIQ</t>
  </si>
  <si>
    <t>NPP Launch</t>
  </si>
  <si>
    <t>The National Polar-orbiting Operational Environmental Satellite System Preparatory Project, or NPP, is set to launch at 5:48 a.m. EDT today, on a mission to measure both global climate changes and key weather variables.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</si>
  <si>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cg9Z0-WEQIQ</t>
  </si>
  <si>
    <t>https://youtu.be/4vU40yJ2V4Q</t>
  </si>
  <si>
    <t>NPP Launch Poll</t>
  </si>
  <si>
    <t>4vU40yJ2V4Q</t>
  </si>
  <si>
    <t>https://youtu.be/DmqDP-3Kkck</t>
  </si>
  <si>
    <t>NPP Vehicle Flow With Bruce Reid</t>
  </si>
  <si>
    <t>DmqDP-3Kkck</t>
  </si>
  <si>
    <t>https://youtu.be/i6qXl6FF3hg</t>
  </si>
  <si>
    <t>NPP Launch  Intro to Coverage</t>
  </si>
  <si>
    <t>Coverage of the NPP countdown and launch begins on Oct. 28, 2011.</t>
  </si>
  <si>
    <t>i6qXl6FF3hg</t>
  </si>
  <si>
    <t>2011 10 25</t>
  </si>
  <si>
    <t>https://youtu.be/RVnz1JVaNYk</t>
  </si>
  <si>
    <t>NPP Mission Overview</t>
  </si>
  <si>
    <t>The NPP Pre-Launch Webcast looks at NASA's upcoming NPOESS Preparatory Project (NPP) mission. NPP represents a critical first step in building the next-generation of Earth-observing satellites. The mission will test key technologies and instruments. It also will continue to gather information to continue to build on the data record from previous Earth-observing satellites.</t>
  </si>
  <si>
    <t>RVnz1JVaNYk</t>
  </si>
  <si>
    <t>2011 10 24</t>
  </si>
  <si>
    <t>https://youtu.be/pOernXaSfx0</t>
  </si>
  <si>
    <t>In Their Own Words  Astronaut Dan Tani</t>
  </si>
  <si>
    <t>Astronaut Dan Tani talks about becoming an astronaut, what he learned living on the International Space Station and about dealing with weightlessness for months at a time.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</si>
  <si>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pOernXaSfx0</t>
  </si>
  <si>
    <t>2011 10 21</t>
  </si>
  <si>
    <t>https://youtu.be/3s8DNLhxakA</t>
  </si>
  <si>
    <t>In Their Own Words with Charlie Bolden</t>
  </si>
  <si>
    <t>NASA Administrator Charles Bolden, who flew four space shuttle missions, talks about how space travel changed his life and how he applies his astronaut training to his work as the head of the space agency.</t>
  </si>
  <si>
    <t>3s8DNLhxakA</t>
  </si>
  <si>
    <t>2011 09 23</t>
  </si>
  <si>
    <t>https://youtu.be/cn4MVoIEJvU</t>
  </si>
  <si>
    <t>Space Shuttle Era  Main Engines</t>
  </si>
  <si>
    <t>Producing 500,000 pounds of thrust from a package weighing only 7,500 pounds, the Space Shuttle Main Engines are one of the shining accomplishments of the shuttle program. The success did not come easily, though.</t>
  </si>
  <si>
    <t>cn4MVoIEJvU</t>
  </si>
  <si>
    <t>2011 09 15</t>
  </si>
  <si>
    <t>https://youtu.be/quISTvkwo-s</t>
  </si>
  <si>
    <t>Kennedy Space Center  Partnering for the Future</t>
  </si>
  <si>
    <t>quISTvkwo-s</t>
  </si>
  <si>
    <t>2011 09 10</t>
  </si>
  <si>
    <t>https://youtu.be/xQ1ToQxCYno</t>
  </si>
  <si>
    <t>Post Launch Interview WIth Launch Director Tim Dunn</t>
  </si>
  <si>
    <t>GRAIL's post Launch Interview with Tim Dunn NASA Launch Director.</t>
  </si>
  <si>
    <t>xQ1ToQxCYno</t>
  </si>
  <si>
    <t>https://youtu.be/pKxiuk0MhA4</t>
  </si>
  <si>
    <t>GRAIL Spacecraft Separation</t>
  </si>
  <si>
    <t>NASA's Twin GRAIL spacecraft head for their lunar mission aboard a Delta II rocket.</t>
  </si>
  <si>
    <t>pKxiuk0MhA4</t>
  </si>
  <si>
    <t>https://youtu.be/PKd4hK9AU9w</t>
  </si>
  <si>
    <t>GRAIL Launch</t>
  </si>
  <si>
    <t>NASA's Twin GRAIL spacecraft lift off at 9:08 a.m. EDT on Saturday, September 10, 2011, on a mission to explore the moon in unprecedented detail.</t>
  </si>
  <si>
    <t>PKd4hK9AU9w</t>
  </si>
  <si>
    <t>https://youtu.be/O-JHL44gkmM</t>
  </si>
  <si>
    <t>Grail  Go  for Launch Poll</t>
  </si>
  <si>
    <t>The Launch team gives a "go" for the Delta II launch of the GRAIL spacecraft.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</si>
  <si>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O-JHL44gkmM</t>
  </si>
  <si>
    <t>https://youtu.be/Y90bXUorNZQ</t>
  </si>
  <si>
    <t>GRAIL Launch Coverage Begins</t>
  </si>
  <si>
    <t>NASA Launch Commentator George Diller opens coverage of the Grail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</si>
  <si>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Y90bXUorNZQ</t>
  </si>
  <si>
    <t>2011 09 09</t>
  </si>
  <si>
    <t>https://youtu.be/AstbjxYNwqM</t>
  </si>
  <si>
    <t>AstbjxYNwqM</t>
  </si>
  <si>
    <t>2011 09 08</t>
  </si>
  <si>
    <t>https://youtu.be/j3ToJirqASc</t>
  </si>
  <si>
    <t>GRAIL Launch Scrub</t>
  </si>
  <si>
    <t>The launch of a Delta II carrying NASA's Gravity Recovery and Interior Laboratory (GRAIL)  was scrubbed today due to weather. Conditions associated with upper level winds were in violation of the launch criteria.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</si>
  <si>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j3ToJirqASc</t>
  </si>
  <si>
    <t>2011 09 07</t>
  </si>
  <si>
    <t>https://youtu.be/gVZrSNjPbzM</t>
  </si>
  <si>
    <t>GRAIL Webcast  Twin Spacecraft Bound for the Moon</t>
  </si>
  <si>
    <t>The moon has captivated humanity's collective imagination for hundreds of years, but despite study with telescopes, astronauts and robotic probes, our nearest neighbor remains a mystery. NASA's Gravity Recovery and Interior Laboratory mission (GRAIL) features twin spacecraft setting off on a challenging mission to map the moon's gravity. What they learn could teach us more about the moon's past -- and how the inner solar system's rocky planets developed.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</si>
  <si>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gVZrSNjPbzM</t>
  </si>
  <si>
    <t>https://youtu.be/VeI5TrOWHqs</t>
  </si>
  <si>
    <t>GRAIL Spacecraft and Vehicle Flow</t>
  </si>
  <si>
    <t>Delta II and GRAIL Ready: Rocket and twin moon-bound spacecraft are ready for the mission.</t>
  </si>
  <si>
    <t>VeI5TrOWHqs</t>
  </si>
  <si>
    <t>2011 08 26</t>
  </si>
  <si>
    <t>https://youtu.be/YICa1oeS0Fg</t>
  </si>
  <si>
    <t>Space Shuttle Flyout Series  Orbiter Processing Facility</t>
  </si>
  <si>
    <t>Space shuttles came home to specialized hangars called orbiter processing facilities where workers cleaned them up and prepped them for their next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</si>
  <si>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YICa1oeS0Fg</t>
  </si>
  <si>
    <t>2011 08 15</t>
  </si>
  <si>
    <t>https://youtu.be/4EVCDiQTfYA</t>
  </si>
  <si>
    <t>NASA Shuttle Rap Video</t>
  </si>
  <si>
    <t>4EVCDiQTfYA</t>
  </si>
  <si>
    <t>https://youtu.be/mfjGKtqO-v0</t>
  </si>
  <si>
    <t>STS-135 Launch Tribute</t>
  </si>
  <si>
    <t>mfjGKtqO-v0</t>
  </si>
  <si>
    <t>2011 08 05</t>
  </si>
  <si>
    <t>https://youtu.be/iv28NUxK_tY</t>
  </si>
  <si>
    <t>Juno Launch Coverage  Interview with Launch Director</t>
  </si>
  <si>
    <t>NASA Launch Director Omar Baez discusses the countdown and launch of the Juno mission to Jupiter.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</si>
  <si>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iv28NUxK_tY</t>
  </si>
  <si>
    <t>https://youtu.be/niafVTy3iIM</t>
  </si>
  <si>
    <t>Juno Spacecraft Separation</t>
  </si>
  <si>
    <t>The launch team confirms that Juno separates from the Centaur upper stage and is flying on its own to Jupiter.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</si>
  <si>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niafVTy3iIM</t>
  </si>
  <si>
    <t>https://youtu.be/0Pk5NPQDO_o</t>
  </si>
  <si>
    <t>Juno  Go  for Launch Poll</t>
  </si>
  <si>
    <t>The launch team gives its "go" to launch the Juno spacecraft to Jupiter.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</si>
  <si>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0Pk5NPQDO_o</t>
  </si>
  <si>
    <t>https://youtu.be/ouNiZCw4bDU</t>
  </si>
  <si>
    <t>Launch of Juno!</t>
  </si>
  <si>
    <t>An Atlas V rocket lofted the Juno spacecraft toward Jupiter from Space Launch Complex-41. The 4-ton Juno spacecraft will take five years to reach Jupiter on a mission to study its structure and decipher its history.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</si>
  <si>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ouNiZCw4bDU</t>
  </si>
  <si>
    <t>https://youtu.be/7tMjZAFE6fU</t>
  </si>
  <si>
    <t>Juno Launch  Introduction</t>
  </si>
  <si>
    <t>Launch Commentator George Diller of NASA's Kennedy Space Center kicks off coverage of the launch of the Juno misison to Jupiter on Aug. 5, 2011.</t>
  </si>
  <si>
    <t>7tMjZAFE6fU</t>
  </si>
  <si>
    <t>2011 08 04</t>
  </si>
  <si>
    <t>https://youtu.be/0fVAMaV7syE</t>
  </si>
  <si>
    <t>Juno Launch Vehicle and Spacecraft Readied for Launch</t>
  </si>
  <si>
    <t>Mysterious Jupiter is the most massive planet in our solar system. Now, NASA is preparing to send the pioneering Juno spacecraft on a one-year mission to study the stormy gas giant.</t>
  </si>
  <si>
    <t>0fVAMaV7syE</t>
  </si>
  <si>
    <t>2011 08 03</t>
  </si>
  <si>
    <t>https://youtu.be/pqAUjItddww</t>
  </si>
  <si>
    <t>Merritt Island Launch Annex (MILA) Mission Complete</t>
  </si>
  <si>
    <t>pqAUjItddww</t>
  </si>
  <si>
    <t>https://youtu.be/0oSTDKK2QW0</t>
  </si>
  <si>
    <t>Columbia Tank Found on Lakebed</t>
  </si>
  <si>
    <t>A drought in Texas lowered Lake Nacogdoches enough to uncover an aluminum tank from Columbia's STS-107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</si>
  <si>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0oSTDKK2QW0</t>
  </si>
  <si>
    <t>https://youtu.be/7bVNYLE5PFQ</t>
  </si>
  <si>
    <t>Juno Mission Overview</t>
  </si>
  <si>
    <t>The Juno spacecraft will look deep beneath Jupiter's swirling curtains of clouds to decipher the planet's structure and history during a mission that will begin with a 5-year flight through deep space. The journey will begin aboard an Atlas V rocket equipped with five booster rockets and a large Centaur upper stage. In this webcast, members of NASA's Launch Services Program and Juno's principal investigator detail what it takes to prepare an interplanetary mission and what potential discoveries lie ahead.</t>
  </si>
  <si>
    <t>7bVNYLE5PFQ</t>
  </si>
  <si>
    <t>2011 07 28</t>
  </si>
  <si>
    <t>https://youtu.be/tgp33OYAJ18</t>
  </si>
  <si>
    <t>The STS-135 Mission Recap</t>
  </si>
  <si>
    <t>The crew of STS-135 flew space shuttle Atlantis to the International Space Station on a supply mission to complete the shuttle program in July 2011.</t>
  </si>
  <si>
    <t>tgp33OYAJ18</t>
  </si>
  <si>
    <t>2011 07 22</t>
  </si>
  <si>
    <t>https://youtu.be/GEJUGdvMVGk</t>
  </si>
  <si>
    <t>Space Shuttle Flyout  Landing Convoy</t>
  </si>
  <si>
    <t>GEJUGdvMVGk</t>
  </si>
  <si>
    <t>https://youtu.be/aEhfEZZhKa0</t>
  </si>
  <si>
    <t>Mars Science Lab  David Gruel</t>
  </si>
  <si>
    <t>Mars Science Laboratory Assembly Test and Launch Operations Manager David Gruel talks about the MSL spacecraft and the Curiosity rover.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</si>
  <si>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aEhfEZZhKa0</t>
  </si>
  <si>
    <t>https://youtu.be/HK0WqrkuAic</t>
  </si>
  <si>
    <t>STS-135 Landing Crew Comments</t>
  </si>
  <si>
    <t>The STS-135 astronauts get a close-up look at space shuttle Atlantis, hear from NASA Administrator Charles Bolden and speak to assembled employees, guests and media after landing at Kennedy Space Center's Shuttle Landing Facility.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</si>
  <si>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HK0WqrkuAic</t>
  </si>
  <si>
    <t>https://youtu.be/TrOwm2q019Q</t>
  </si>
  <si>
    <t>Space Shuttle Era  Astronaut Support Personnel</t>
  </si>
  <si>
    <t>Astronauts rely on other astronauts on launch day to help them get rady for liftoff and the misison ahead. The helpful cadre are known formally as Astronaut Support Personnel but are called ASPs or Cape Crusaders.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</si>
  <si>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TrOwm2q019Q</t>
  </si>
  <si>
    <t>2011 07 21</t>
  </si>
  <si>
    <t>https://youtu.be/Pc18Sjz2-Rg</t>
  </si>
  <si>
    <t>Landing of STS-135, the final space shuttle mission</t>
  </si>
  <si>
    <t>Atlantis and the STS-135 crew touched down at NASA's Kennedy Space Center in Florida just before dawn on July 21, 2011, wrapping up the final mission of the 30-year space shuttle program.</t>
  </si>
  <si>
    <t>Pc18Sjz2-Rg</t>
  </si>
  <si>
    <t>https://youtu.be/UHKuORG_XKI</t>
  </si>
  <si>
    <t>STS-135 Landing - Call for Deorbit Burn</t>
  </si>
  <si>
    <t>Space shuttle Atlantis and the STS-135 crew receive the "go" for the deorbit burn.</t>
  </si>
  <si>
    <t>UHKuORG_XKI</t>
  </si>
  <si>
    <t>2011 07 20</t>
  </si>
  <si>
    <t>https://youtu.be/BRzf-UbYmhM</t>
  </si>
  <si>
    <t>Flying In The STA</t>
  </si>
  <si>
    <t>One of the Public Affairs Writers at NASA's Kennedy Space Center flew with STS-135 Commander Chris Ferguson on the Shuttle Training Aircraft as he pacticed landing the space shuttle.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</si>
  <si>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BRzf-UbYmhM</t>
  </si>
  <si>
    <t>https://youtu.be/_5td92FfgHk</t>
  </si>
  <si>
    <t>Solid Rocket Booster Recovery Divers</t>
  </si>
  <si>
    <t>An elite team of divers have shuttle mission of their own.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</si>
  <si>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_5td92FfgHk</t>
  </si>
  <si>
    <t>https://youtu.be/y-5Jj7DDfqg</t>
  </si>
  <si>
    <t>Kennedy Space Center Wakes STS-135 Crew</t>
  </si>
  <si>
    <t>The Flight Day 13 wakeup music was "Fanfare for the Common Man" by Aaron Copland played for Commander Chris Ferguson. It was followed by a prerecorded message from Kennedy Space Center employees. Kennedy is home to the space shuttle fleet, along with its launch pads and the people who prepared the shuttles for each trip into space. Atlantis is scheduled to land at the Shuttle Landing Facility in Kennedy on Thursday.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</si>
  <si>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y-5Jj7DDfqg</t>
  </si>
  <si>
    <t>2011 07 18</t>
  </si>
  <si>
    <t>https://youtu.be/oJLgMxGOqUw</t>
  </si>
  <si>
    <t>Learning Space  Don't Eat the Pumpkin Suits!</t>
  </si>
  <si>
    <t>oJLgMxGOqUw</t>
  </si>
  <si>
    <t>https://youtu.be/pUg7vkoC4Cc</t>
  </si>
  <si>
    <t>Learning Space  Exercise to Stay Strong</t>
  </si>
  <si>
    <t>pUg7vkoC4Cc</t>
  </si>
  <si>
    <t>https://youtu.be/L7z3iA1Iruw</t>
  </si>
  <si>
    <t>Learning Space  Good Food is Good in Orbit, Too!</t>
  </si>
  <si>
    <t>L7z3iA1Iruw</t>
  </si>
  <si>
    <t>https://youtu.be/1AscBT6Vt8c</t>
  </si>
  <si>
    <t>Learning Space  Stay Clean Without Taking a Bath</t>
  </si>
  <si>
    <t>1AscBT6Vt8c</t>
  </si>
  <si>
    <t>2011 07 15</t>
  </si>
  <si>
    <t>https://youtu.be/fa-m9gptKVE</t>
  </si>
  <si>
    <t>Flyout Series  SRB Retrieval Ships</t>
  </si>
  <si>
    <t>Two ocean-going ships support each space shuttle launch.</t>
  </si>
  <si>
    <t>fa-m9gptKVE</t>
  </si>
  <si>
    <t>2011 07 14</t>
  </si>
  <si>
    <t>https://youtu.be/DVObUdv0_cQ</t>
  </si>
  <si>
    <t>Learning Space  Elmo visits NASA's Kennedy Space Center</t>
  </si>
  <si>
    <t>Elmo came down to NASA's Kennedy Space Center in Florida to see the last launch of the space shuttle and to find out about spaceflight.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</si>
  <si>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DVObUdv0_cQ</t>
  </si>
  <si>
    <t>2011 07 08</t>
  </si>
  <si>
    <t>https://youtu.be/Ejwe3PnWn88</t>
  </si>
  <si>
    <t>STS-135 External Tank Jettison</t>
  </si>
  <si>
    <t>Ejwe3PnWn88</t>
  </si>
  <si>
    <t>https://youtu.be/C_8cfzWoYVQ</t>
  </si>
  <si>
    <t>STS-135 Launch Replay  UCS-15 (TV-21A)</t>
  </si>
  <si>
    <t>C_8cfzWoYVQ</t>
  </si>
  <si>
    <t>https://youtu.be/uSpZtTrQo_A</t>
  </si>
  <si>
    <t>STS-135 Launch Replay   Press Site (TV-50)</t>
  </si>
  <si>
    <t>uSpZtTrQo_A</t>
  </si>
  <si>
    <t>https://youtu.be/j9xDiEFew5o</t>
  </si>
  <si>
    <t>STS-135 Launch Replay  OTV Camera 70</t>
  </si>
  <si>
    <t>j9xDiEFew5o</t>
  </si>
  <si>
    <t>https://youtu.be/Pg5U4pA87yQ</t>
  </si>
  <si>
    <t>STS-135 Launch Replay  Camera Site 2 (TV-7A)</t>
  </si>
  <si>
    <t>Pg5U4pA87yQ</t>
  </si>
  <si>
    <t>https://youtu.be/akztqVmxSfk</t>
  </si>
  <si>
    <t>STS-135 Launch Replay  VAB Roof (TV-5)</t>
  </si>
  <si>
    <t>akztqVmxSfk</t>
  </si>
  <si>
    <t>https://youtu.be/ldlphfRuk1Q</t>
  </si>
  <si>
    <t>Shuttle Closeout Crew Says Goodbye</t>
  </si>
  <si>
    <t>Before leaving the White Room for what may be the final time, each member of the Closeout Crew held up signs bearing the following message: "Thank you America! On behalf of all who have designed and built, serviced and loaded, launched and controlled, operated and flown these magnificent space vehicles... Thank you for 30 years with our nation's space shuttles! Godspeed Atlantis! God bless America!"</t>
  </si>
  <si>
    <t>ldlphfRuk1Q</t>
  </si>
  <si>
    <t>https://youtu.be/f3e1CsCKUgk</t>
  </si>
  <si>
    <t>STS-135 Send-Off</t>
  </si>
  <si>
    <t>Shuttle Launch Director Mike Leinbach talks with the astronauts of STS-135 following the launch readiness poll before the countdown resumes.</t>
  </si>
  <si>
    <t>f3e1CsCKUgk</t>
  </si>
  <si>
    <t>https://youtu.be/7aKYeRSYLB0</t>
  </si>
  <si>
    <t>STS-135 Space Shuttle Launch</t>
  </si>
  <si>
    <t>Space shuttle Atlantis lifts off at 11:29 a.m. EST on July 8, 2011, to begin the STS-135 mission, the last of the shuttle program.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</si>
  <si>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7aKYeRSYLB0</t>
  </si>
  <si>
    <t>https://youtu.be/1EOPPM5bfGc</t>
  </si>
  <si>
    <t>STS-135 Astronauts Strap into Space Shuttle Atlantis for Launch</t>
  </si>
  <si>
    <t>The crew of STS-135 take their seats inside Atlantis as the countdown moves ahead toard launch on July 8, 2011.</t>
  </si>
  <si>
    <t>1EOPPM5bfGc</t>
  </si>
  <si>
    <t>https://youtu.be/diYnjymyruM</t>
  </si>
  <si>
    <t>STS-135 Crew Suitup and Walkout</t>
  </si>
  <si>
    <t>The astronauts of STS-135 get dressed for launch and climb into the Astrovan for the ride to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</si>
  <si>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diYnjymyruM</t>
  </si>
  <si>
    <t>https://youtu.be/vE441pjBF7o</t>
  </si>
  <si>
    <t>Flyout  Launch Weather Forecasting</t>
  </si>
  <si>
    <t>One of the most important questions on launch day is, "What's the weather like?" A team of specialized professionals and precise equipment is who the launch team turns to for the answer.</t>
  </si>
  <si>
    <t>vE441pjBF7o</t>
  </si>
  <si>
    <t>https://youtu.be/4NrUsIKtRG8</t>
  </si>
  <si>
    <t>STS-135 - Introduction to Launch Commentary</t>
  </si>
  <si>
    <t>Coverage begins of hte countdown of space shuttle Atlantis on the STS-135 mission.</t>
  </si>
  <si>
    <t>4NrUsIKtRG8</t>
  </si>
  <si>
    <t>2011 07 07</t>
  </si>
  <si>
    <t>https://youtu.be/T_VJUeXS6F4</t>
  </si>
  <si>
    <t>STS-135 Launch Pad Lightning Strike</t>
  </si>
  <si>
    <t>A pair of lightning strikes occurred near launch pad 39-A at NASA's Kennedy Space Center at 12:31 p.m. and 12:40 p.m. EDT on July 7. The first struck the water tower 515 feet from the pad and the second struck the beach area northeast of the pad. Early data indicate no issues with any systems, including shuttle Atlantis, External Tank, Solid Rocket Boosters, Space Shuttle Main Engines or Ground Support Equipment.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</si>
  <si>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T_VJUeXS6F4</t>
  </si>
  <si>
    <t>https://youtu.be/396sRuzVrHQ</t>
  </si>
  <si>
    <t>In Their Own Words  Rex Walheim</t>
  </si>
  <si>
    <t>396sRuzVrHQ</t>
  </si>
  <si>
    <t>2011 07 06</t>
  </si>
  <si>
    <t>https://youtu.be/HZYysEnvYO4</t>
  </si>
  <si>
    <t>STS-135 - The Final Shuttle Mission</t>
  </si>
  <si>
    <t>The STS-135 Webcast looks back on the 30-year Space Shuttle Program's accomplishments and ahead to the goals of the final mission with the crew, past shuttle astronauts and some of the people who made it all possible.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</si>
  <si>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HZYysEnvYO4</t>
  </si>
  <si>
    <t>2011 07 05</t>
  </si>
  <si>
    <t>https://youtu.be/snfY5CZ3-Jw</t>
  </si>
  <si>
    <t>In Their Own Words  Astronaut Chris Ferguson</t>
  </si>
  <si>
    <t>The shuttle's final commander, Chris Ferguson, talks about getting chosen for the last mission, becoming an astronaut and flying the Shuttle Training Aircraft.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</si>
  <si>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snfY5CZ3-Jw</t>
  </si>
  <si>
    <t>2011 07 04</t>
  </si>
  <si>
    <t>https://youtu.be/D_osz0XyRaY</t>
  </si>
  <si>
    <t>Space Shuttle Era  Imagery</t>
  </si>
  <si>
    <t>Imagery is key to safer shuttle launches.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</si>
  <si>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D_osz0XyRaY</t>
  </si>
  <si>
    <t>2011 06 28</t>
  </si>
  <si>
    <t>https://youtu.be/2mK5BLoYlBU</t>
  </si>
  <si>
    <t>In Their Own Words  STS-135 Astronaut Doug Hurley</t>
  </si>
  <si>
    <t>STS-135 Pilot Doug Hurley talks about his selection for the final shuttle mission, why he became an astronaut and the surprises of spaceflight.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</si>
  <si>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2mK5BLoYlBU</t>
  </si>
  <si>
    <t>https://youtu.be/NpYaF4tb8k4</t>
  </si>
  <si>
    <t>In Their Owns Words  STS-135 Crew</t>
  </si>
  <si>
    <t>The crew of the final space shuttle mission, STS-135, discuss getting selected for the flight, what it means to spaceflight history and what went into the mission patch design.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</si>
  <si>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NpYaF4tb8k4</t>
  </si>
  <si>
    <t>2011 06 24</t>
  </si>
  <si>
    <t>https://youtu.be/VvDyITqm3U4</t>
  </si>
  <si>
    <t>STS-135 Crew Rehearses Final Mission</t>
  </si>
  <si>
    <t>The crew of STS-135, the final space shuttle mission, rehearsed their launch day process at NASA's Kennedy Space Center in Florida during a Terminal Countdown Demonstration Test that took place June 20 through June 23. Commander Chris Ferguson, Pilot Doug Hurley and Mission Specialists Sandy Magnus and Rex Walheim practiced driving M113 armored escape vehicles, surveyed space shuttle Atlantis up close on the launch pad and worked with the actual tools they will use in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</si>
  <si>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VvDyITqm3U4</t>
  </si>
  <si>
    <t>2011 06 23</t>
  </si>
  <si>
    <t>https://youtu.be/tQa_Wzu9GH4</t>
  </si>
  <si>
    <t>In Their Own Words  Astronaut Sandy Magnus</t>
  </si>
  <si>
    <t>STS-135 Mission Specialist Sandy Magnus talks about living in space, becoming an astronaut and the adjustment to gravity coming home.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</si>
  <si>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tQa_Wzu9GH4</t>
  </si>
  <si>
    <t>2011 06 17</t>
  </si>
  <si>
    <t>https://youtu.be/fVnSGLoqbOM</t>
  </si>
  <si>
    <t>In Their Own Words  Astronaut Mike Barratt</t>
  </si>
  <si>
    <t>Astronaut Michael Barratt talks about launching into space on a shuttle and Soyuz, living in orbit and what made him want to become an astronaut.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</si>
  <si>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fVnSGLoqbOM</t>
  </si>
  <si>
    <t>2011 06 15</t>
  </si>
  <si>
    <t>https://youtu.be/isUrYV8tHok</t>
  </si>
  <si>
    <t>Aquarius Tower Rollback</t>
  </si>
  <si>
    <t>The mobile service tower at NASA's Launch Complex-2 at Vandenberg Air Force Base in California is being moved away from the ULA Delta II rocket with the Aquarius/SAC-D spacecraft atop, in preparation for launch. (Music only)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</si>
  <si>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isUrYV8tHok</t>
  </si>
  <si>
    <t>https://youtu.be/K1TfaVRkSAw</t>
  </si>
  <si>
    <t>Aquarius Spacecraft and Vehicle Flow</t>
  </si>
  <si>
    <t>Follow the steps that prepared the Aquarius/SAC-D spacecraft and the ULA Delta II rocket for liftoff.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</si>
  <si>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K1TfaVRkSAw</t>
  </si>
  <si>
    <t>2011 06 14</t>
  </si>
  <si>
    <t>https://youtu.be/iGdH9btHvZw</t>
  </si>
  <si>
    <t>In Their Own Words  Steve Swanson</t>
  </si>
  <si>
    <t>Astronaut Steve Swanson discusses his spaceflight career, what made him want to become an astronaut and what his biggest surprise in space was.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</si>
  <si>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iGdH9btHvZw</t>
  </si>
  <si>
    <t>2011 06 10</t>
  </si>
  <si>
    <t>https://youtu.be/sYHh8C8Kcrk</t>
  </si>
  <si>
    <t>Aquarius Launch Coverage  Spacecraft Separation</t>
  </si>
  <si>
    <t>Spacecraft separation is successful and the Aquarius/SAC-D satellite is safely in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</si>
  <si>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sYHh8C8Kcrk</t>
  </si>
  <si>
    <t>https://youtu.be/knRseQgkUTs</t>
  </si>
  <si>
    <t>Aquarius Launch Coverage  Launch Recap Commentary</t>
  </si>
  <si>
    <t>Aquarius Launch Recap. NASA Public Affairs Officer Tracy Young and NASA Launch Director Omar Baez talk about the successful Aquarius/SAC-D liftoff.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</si>
  <si>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knRseQgkUTs</t>
  </si>
  <si>
    <t>https://youtu.be/GP1feycsEh8</t>
  </si>
  <si>
    <t>STS-134 Mission Recap</t>
  </si>
  <si>
    <t>GP1feycsEh8</t>
  </si>
  <si>
    <t>https://youtu.be/x8gYFVQ054k</t>
  </si>
  <si>
    <t>Launch Readiness Poll for the launch of Aquarius</t>
  </si>
  <si>
    <t>'Go' For Launch! NASA managers are unanimous in their decision to launch the Aquarius/SAC-D satellite.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</si>
  <si>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x8gYFVQ054k</t>
  </si>
  <si>
    <t>https://youtu.be/WY00J_PgeYc</t>
  </si>
  <si>
    <t>Launch of Aquarius!</t>
  </si>
  <si>
    <t>Aquarius/SAC-D Soars into Orbit! A Delta II rocket lofts a new satellite into space to measure the salinity of the Earth's oceans.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</si>
  <si>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WY00J_PgeYc</t>
  </si>
  <si>
    <t>https://youtu.be/m9xVJ8jaimU</t>
  </si>
  <si>
    <t>Aquarius Launch  Intro to live coverage</t>
  </si>
  <si>
    <t>Welcome to launch day. NASA Public Affairs Officer Tracy Young begins live coverage of the Aquarius/SAC-D mission. The satellite will survey the world for sea-surface salinity and is launching from Vandeberg Air Force Base, Calif., on a Delta II rocket.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</si>
  <si>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m9xVJ8jaimU</t>
  </si>
  <si>
    <t>2011 06 08</t>
  </si>
  <si>
    <t>https://youtu.be/xkVE6pOgEfk</t>
  </si>
  <si>
    <t>NASA's Aquarius Mission Special Feature</t>
  </si>
  <si>
    <t>The international Aquarius mission will focus on surveying sea surface salinity in a search for what could be a key piece of the puzzle to decipher the future of climate change. A United Launch Alliance Delta II rocket will launch the spacecraft, SAC-D, into a polar orbit from Vandenberg Air Force Base in California, allowing it to fly over the world's ocean and collect data. The readings are expected to be the most complete study of the salinity ever completed. Argentina built the spacecraft, SAC-D, and NASA provided the primary instrument called Aquarius. Several other nations are also taking part in the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</si>
  <si>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xkVE6pOgEfk</t>
  </si>
  <si>
    <t>2011 06 02</t>
  </si>
  <si>
    <t>https://youtu.be/8ZcA3FfqTkU</t>
  </si>
  <si>
    <t>KSC Honor Flag</t>
  </si>
  <si>
    <t>The U.S. Honor Flag was delivered to Kennedy Space Center, to be flown aboard space shuttle Atlantis on its final flight, STS-135. The flag honors those who have given their lives in the line of duty.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</si>
  <si>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8ZcA3FfqTkU</t>
  </si>
  <si>
    <t>2011 06 01</t>
  </si>
  <si>
    <t>https://youtu.be/LE3Lc2i3BLw</t>
  </si>
  <si>
    <t>STS-135 Rollout</t>
  </si>
  <si>
    <t>Space shuttle Atlantis makes its historic final journey from the Vehicle Assembly Building to Launch Pad 39A at NASA's Kennedy Space Center.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</si>
  <si>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LE3Lc2i3BLw</t>
  </si>
  <si>
    <t>https://youtu.be/g-M2aHfNGDM</t>
  </si>
  <si>
    <t>STS-134 Landing Crew Comments</t>
  </si>
  <si>
    <t>Space shuttle Endeavour's crew members are greeted at the Kennedy Space Center's Shuttle Landing Facility following their return to Earth, ending the STS-134 mission and Endeavour's flying career.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</si>
  <si>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g-M2aHfNGDM</t>
  </si>
  <si>
    <t>https://youtu.be/JoTBB9gmUkw</t>
  </si>
  <si>
    <t>STS-134 Landing</t>
  </si>
  <si>
    <t>Space shuttle Endeavour returns to Earth for the final time, ending the STS-134 mission and its flying career at the Kennedy Space Center's Shuttle Landing Facility.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</si>
  <si>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JoTBB9gmUkw</t>
  </si>
  <si>
    <t>https://youtu.be/oBUa4UX84mc</t>
  </si>
  <si>
    <t>STS-134 Go For Deorbit Burn</t>
  </si>
  <si>
    <t>Mission Control gives the "go" to the crew of space shuttle Endeavour, setting them on a course for landing at NASA's Kennedy Space Center and bringing an end to the STS-134 mission and Endeavour's career.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</si>
  <si>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oBUa4UX84mc</t>
  </si>
  <si>
    <t>2011 05 20</t>
  </si>
  <si>
    <t>https://youtu.be/N62vMwuSinU</t>
  </si>
  <si>
    <t>Space Shuttle Era  Firing Room</t>
  </si>
  <si>
    <t>The Firing Room at NASA's Kennedy Space Center in Florida is the nerve center for the countdown and launch of a space shuttle.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</si>
  <si>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N62vMwuSinU</t>
  </si>
  <si>
    <t>https://youtu.be/g4bWm8_JITI</t>
  </si>
  <si>
    <t>Space Shuttle Glass Cockpit</t>
  </si>
  <si>
    <t>Space Shuttle Era: How the space shuttle got smarter. NASA's space shuttles became easier and safer to fly because of "glass cockpit" technology.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</si>
  <si>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g4bWm8_JITI</t>
  </si>
  <si>
    <t>2011 05 19</t>
  </si>
  <si>
    <t>https://youtu.be/CryYbmcxkjg</t>
  </si>
  <si>
    <t>Space Shuttle Era  Closeout Crew</t>
  </si>
  <si>
    <t>The Closeout Crew has the last hands-on job before the space shuttle flies -- from strapping in the astronauts to securing the launch pad's White Room before liftoff.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</si>
  <si>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CryYbmcxkjg</t>
  </si>
  <si>
    <t>2011 05 16</t>
  </si>
  <si>
    <t>https://youtu.be/vf_8x5kG4EU</t>
  </si>
  <si>
    <t>STS-134 Launch Replay UCS-15 (TV-21A)</t>
  </si>
  <si>
    <t>vf_8x5kG4EU</t>
  </si>
  <si>
    <t>https://youtu.be/YoWWfYzAC60</t>
  </si>
  <si>
    <t>STS-134 Launch Replay South Beach Tracker (TV-4A)</t>
  </si>
  <si>
    <t>YoWWfYzAC60</t>
  </si>
  <si>
    <t>https://youtu.be/x04QbxB7CZM</t>
  </si>
  <si>
    <t>STS-134 Launch Replay Press Site (TV-50)</t>
  </si>
  <si>
    <t>x04QbxB7CZM</t>
  </si>
  <si>
    <t>https://youtu.be/Z9hKDFxA9UA</t>
  </si>
  <si>
    <t>STS-134 Launch Replay OTV Camera 71</t>
  </si>
  <si>
    <t>Z9hKDFxA9UA</t>
  </si>
  <si>
    <t>https://youtu.be/X47raRdRSBA</t>
  </si>
  <si>
    <t>STS-134 Launch Replay Camera Site 2 (TV-7A)</t>
  </si>
  <si>
    <t>X47raRdRSBA</t>
  </si>
  <si>
    <t>https://youtu.be/vNvhSfmCAtQ</t>
  </si>
  <si>
    <t>STS-134 Launch Poll</t>
  </si>
  <si>
    <t>Endeavour is given the green light after all prelaunch "go/no-go" polls are complete. Endeavour began its final flight, the STS-134 mission, to the International Space Station on time at 8:56 a.m. EDT on May 16. Endeavour and its six-member crew are embarking on a mission to deliver the Alpha Magnetic Spectrometer-2 (AMS), Express Logistics Carrier-3, a high-pressure gas tank and additional spare parts for the Dextre robotic helper to the space station. Endeavour's first launch attempt on April 29 was scrubbed because of an issue associated with a faulty power distribution box called the aft load control assembly-2 (ALCA-2). For more information visit, www.nasa.gov/mission_pages/shuttle/shuttlemissions/sts134/index.html.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
(more)(less</t>
  </si>
  <si>
    <t>vNvhSfmCAtQ</t>
  </si>
  <si>
    <t>https://youtu.be/Y4rGWp25CL8</t>
  </si>
  <si>
    <t>STS-134 External Tank Jettison</t>
  </si>
  <si>
    <t>After an on-time liftoff and healthy climb to orbit from NASA's Kennedy Space Center in Florida, space shuttle Endeavour's spent external fuel tank is jettisoned. Endeavour began its final flight, the STS-134 mission, to the International Space Station on time at 8:56 a.m. EDT on May 16. Endeavour and its six-member crew are embarking on a mission to deliver the Alpha Magnetic Spectrometer-2 (AMS), Express Logistics Carrier-3, a high-pressure gas tank and additional spare parts for the Dextre robotic helper to the space station. Endeavour's first launch attempt on April 29 was scrubbed because of an issue associated with a faulty power distribution box called the aft load control assembly-2 (ALCA-2). For more information visit, www.nasa.gov/mission_pages/shuttle/shuttlemissions/sts134/index.html.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</si>
  <si>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Y4rGWp25CL8</t>
  </si>
  <si>
    <t>https://youtu.be/xQ5-DqcrAyQ</t>
  </si>
  <si>
    <t>Launch of STS-134</t>
  </si>
  <si>
    <t>Space Shuttle Endeavour lifts off from NASA's Kennedy Space Center in Florida on its final mission. Commander Mark Kelly and crew will deliver the Alpha Magnetic Spectrometer to the International Space Station. Endeavour began its final flight, the STS-134 mission, to the International Space Station on time at 8:56 a.m. EDT on May 16. Endeavour and its six-member crew are embarking on a mission to deliver the Alpha Magnetic Spectrometer-2 (AMS), Express Logistics Carrier-3, a high-pressure gas tank and additional spare parts for the Dextre robotic helper to the space station. Endeavour's first launch attempt on April 29 was scrubbed because of an issue associated with a faulty power distribution box called the aft load control assembly-2 (ALCA-2). For more information visit, www.nasa.gov/mission_pages/shuttle/shuttlemissions/sts134/index.html.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</si>
  <si>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xQ5-DqcrAyQ</t>
  </si>
  <si>
    <t>https://youtu.be/a4CQ2jssTyY</t>
  </si>
  <si>
    <t>STS-134 Crew Ingress</t>
  </si>
  <si>
    <t>The STS-134 astronauts take their seats aboard space shuttle Endeavour as the countdown continues toward liftoff. Endeavour began its final flight, the STS-134 mission, to the International Space Station on time at 8:56 a.m. EDT on May 16. Endeavour and its six-member crew are embarking on a mission to deliver the Alpha Magnetic Spectrometer-2 (AMS), Express Logistics Carrier-3, a high-pressure gas tank and additional spare parts for the Dextre robotic helper to the space station. Endeavour's first launch attempt on April 29 was scrubbed because of an issue associated with a faulty power distribution box called the aft load control assembly-2 (ALCA-2). For more information visit, www.nasa.gov/mission_pages/shuttle/shuttlemissions/sts134/index.html.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</si>
  <si>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a4CQ2jssTyY</t>
  </si>
  <si>
    <t>https://youtu.be/-mANx1VcJbo</t>
  </si>
  <si>
    <t>STS-134 Crew Suitup and Walkout</t>
  </si>
  <si>
    <t>National Aeronautics and Space Administration
John F. Kennedy Space Center
Kennedy Space Center, Florida 32899
FOR RELEASE: 05/16/2011
VIDEO NO: KSC-11-S-00036
CAPTIONED IN: ENGLISH 
Stream: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
VIDEO CREDIT:   NASA 
The six-astronaut STS-134 flight crew dresses for launch in the historic suit-up room at Kennedy Space Center before departing for Launch Pad 39A. Endeavour began its final flight, the STS-134 mission, to the International Space Station on time at 8:56 a.m. EDT on May 16. Endeavour and its six-member crew are embarking on a mission to deliver the Alpha Magnetic Spectrometer-2 (AMS), Express Logistics Carrier-3, a high-pressure gas tank and additional spare parts for the Dextre robotic helper to the space station. Endeavour's first launch attempt on April 29 was scrubbed because of an issue associated with a faulty power distribution box called the aft load control assembly-2 (ALCA-2). For more information visit, www.nasa.gov/mission_pages/shuttle/shuttlemissions/sts134/index.html.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</si>
  <si>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-mANx1VcJbo</t>
  </si>
  <si>
    <t>https://youtu.be/W5w_eo52Wmg</t>
  </si>
  <si>
    <t>STS-134 Introduction to Commentary</t>
  </si>
  <si>
    <t>W5w_eo52Wmg</t>
  </si>
  <si>
    <t>2011 05 06</t>
  </si>
  <si>
    <t>https://youtu.be/X6scZokG9zU</t>
  </si>
  <si>
    <t>Living Space  Astronauts Chris Hadfield and Stan Love</t>
  </si>
  <si>
    <t>Astronauts Chris Hadfield and Stan Love discuss their flights on space shuttle Endeavour.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</si>
  <si>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X6scZokG9zU</t>
  </si>
  <si>
    <t>2011 04 29</t>
  </si>
  <si>
    <t>https://youtu.be/z0IxYhdPXwI</t>
  </si>
  <si>
    <t>STS-134 Scrub Explanation</t>
  </si>
  <si>
    <t>z0IxYhdPXwI</t>
  </si>
  <si>
    <t>https://youtu.be/EH3h1_hL1j8</t>
  </si>
  <si>
    <t>STS-134 Scrub Announcement</t>
  </si>
  <si>
    <t>EH3h1_hL1j8</t>
  </si>
  <si>
    <t>https://youtu.be/6n4gcpClC8I</t>
  </si>
  <si>
    <t>STS-134 Launch Coverage Open</t>
  </si>
  <si>
    <t>6n4gcpClC8I</t>
  </si>
  <si>
    <t>2011 04 28</t>
  </si>
  <si>
    <t>https://youtu.be/sXFgdvsGq0g</t>
  </si>
  <si>
    <t>STS-134  Endeavour's Final Voyage</t>
  </si>
  <si>
    <t>After nearly two decades of achievements in space, Endeavour makes one last reach for the stars on its 25th and final mission, STS-134. This webcast examines the mission to come and explores the storied flying career for the youngest of NASA's shuttle orbiters.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</si>
  <si>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sXFgdvsGq0g</t>
  </si>
  <si>
    <t>2011 04 22</t>
  </si>
  <si>
    <t>https://youtu.be/F-ougZG5u5U</t>
  </si>
  <si>
    <t>Space Shuttle Era  Final Inspection Team</t>
  </si>
  <si>
    <t>It's shuttle launch day. Dressed in bright-orange protective suits, an elite group heads to the launch pad where a space shuttle awaits liftoff. But this crew isn't made up of astronauts heading for space it's the Final Inspection Team.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</si>
  <si>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F-ougZG5u5U</t>
  </si>
  <si>
    <t>2011 04 19</t>
  </si>
  <si>
    <t>https://youtu.be/wgRPdK_hTis</t>
  </si>
  <si>
    <t>Kennedy Space Center - The Future Starts Here</t>
  </si>
  <si>
    <t>Kennedy Space Center is propelled today by the same strengths that have made it the nation's most celebrated launch complex for nearly 50 years.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</si>
  <si>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wgRPdK_hTis</t>
  </si>
  <si>
    <t>2011 04 13</t>
  </si>
  <si>
    <t>https://youtu.be/RdFkrbE6990</t>
  </si>
  <si>
    <t>Remembering the Space Shuttle Program</t>
  </si>
  <si>
    <t>RdFkrbE6990</t>
  </si>
  <si>
    <t>2011 04 12</t>
  </si>
  <si>
    <t>https://youtu.be/doGcMijgWx4</t>
  </si>
  <si>
    <t>Kennedy Space Center is the new home of Space Shuttle Atlantis</t>
  </si>
  <si>
    <t>Space shuttle Atlantis will be displayed at NASA's Kennedy Space Center in Florida. Visitors will see Atlantis as it worked in space, with cargo bay doors open and arm extended.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</si>
  <si>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doGcMijgWx4</t>
  </si>
  <si>
    <t>https://youtu.be/6qMPLydUbuM</t>
  </si>
  <si>
    <t>STS-1 Launch</t>
  </si>
  <si>
    <t>Space shuttle Columbia launched April 12, 1981, for the first time on a test flight that would kick off a 30-year career for the nation's orbiter fleet. The flight was commanded by astronaut John Young, a veteran who walked on the moon as commander of Apollo 16. Astronaut Robert Crippen served as the Pilot on STS-1, the first of four space shuttle missions he would fly.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</si>
  <si>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6qMPLydUbuM</t>
  </si>
  <si>
    <t>2011 04 05</t>
  </si>
  <si>
    <t>https://youtu.be/_6SH1xqmEfM</t>
  </si>
  <si>
    <t>STS-134 Astronauts Train for Launch</t>
  </si>
  <si>
    <t>In preparation for space shuttle Endeavour's final launch, the STS-134 crew of six veteran astronauts flew T-38 training jets to NASA's Kennedy Space Center to conduct the standard week-long prelaunch training and countdown dress rehearsal -- officially known as the Terminal Countdown Demonstration Test.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</si>
  <si>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_6SH1xqmEfM</t>
  </si>
  <si>
    <t>2011 03 25</t>
  </si>
  <si>
    <t>https://youtu.be/pFDpwGcQ96o</t>
  </si>
  <si>
    <t>Space Shuttle Era  NASA Kennedy Beach House</t>
  </si>
  <si>
    <t>An unassuming little beachside cottage stands as a silent witness to space history.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</si>
  <si>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pFDpwGcQ96o</t>
  </si>
  <si>
    <t>2011 03 23</t>
  </si>
  <si>
    <t>https://youtu.be/gZZV4yZCcEQ</t>
  </si>
  <si>
    <t>Space Shuttle Era  NASA Railroad Keeps Boosters on Track</t>
  </si>
  <si>
    <t>The NASA Railroad at Kennedy Space Center keeps the space shuttles moving.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</si>
  <si>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gZZV4yZCcEQ</t>
  </si>
  <si>
    <t>2011 03 18</t>
  </si>
  <si>
    <t>https://youtu.be/YLNWttnnCl0</t>
  </si>
  <si>
    <t>In Their Own Words  George Hoggard</t>
  </si>
  <si>
    <t>George Hoggard served on the Flight Crew Rescue unit for the fire department at NASA's Kennedy Space Center from 1968 to 2011. He helped train Apollo and space shuttle astronauts for emergency situations and was on standby alert on seemingly countless launch days to help in a rescue.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</si>
  <si>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YLNWttnnCl0</t>
  </si>
  <si>
    <t>https://youtu.be/tr-yTbWuhWE</t>
  </si>
  <si>
    <t>Kennedy Space Center  Employees Assemble for Historic Photo</t>
  </si>
  <si>
    <t>Employees at NASA's Kennedy Space Center, Fla., took a few moments to assemble for a historic aerial photo Friday outside Kennedy's Vehicle Assembly Building.  Thousands of workers stood side-by-side to form an outline of a space shuttle.  The event was organized in honor of the Space Shuttle Program's 30-year legacy.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</si>
  <si>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tr-yTbWuhWE</t>
  </si>
  <si>
    <t>https://youtu.be/cWR_MHkuBMU</t>
  </si>
  <si>
    <t>STS-133 SRB Recovery</t>
  </si>
  <si>
    <t>cWR_MHkuBMU</t>
  </si>
  <si>
    <t>2011 03 17</t>
  </si>
  <si>
    <t>https://youtu.be/BCaDkI8A0RM</t>
  </si>
  <si>
    <t>STS-133 Mission Recap</t>
  </si>
  <si>
    <t>The veteran space shuttle logged an incredible 39 missions, a total of 365 days in space and traveled 148.2 million miles by the end of its remarkable history.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</si>
  <si>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BCaDkI8A0RM</t>
  </si>
  <si>
    <t>2011 03 11</t>
  </si>
  <si>
    <t>https://youtu.be/_VQ32fjAQts</t>
  </si>
  <si>
    <t>Rollout of STS-134</t>
  </si>
  <si>
    <t>Space shuttle Endeavour began its final scheduled 3.4-mile journey to Launch Pad 39A in darkness -- leaving the Vehicle Assembly Building at NASA's Kennedy Space Center at 7:56 p.m. Eastern Standard Time on March 10.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</si>
  <si>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_VQ32fjAQts</t>
  </si>
  <si>
    <t>2011 03 09</t>
  </si>
  <si>
    <t>https://youtu.be/O3t8X0g2iTA</t>
  </si>
  <si>
    <t>STS-133 Landing Crew Comments</t>
  </si>
  <si>
    <t>Discovery Completes a Flawless Mission -- STS-133 Commander Steve Lindsey thanks the teams and bids good-bye to an old friend -- space shuttle Discovery.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</si>
  <si>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O3t8X0g2iTA</t>
  </si>
  <si>
    <t>https://youtu.be/Ui-ehJlGM1Q</t>
  </si>
  <si>
    <t>Space Shuttle Era  Crawler Transporter</t>
  </si>
  <si>
    <t>For more than 40 years, the twin crawler-transporters at NASA's Kennedy Space Center have slowly traveled the gravel track between the massive Vehicle Assembly Building and the two launch pads at Launch Complex 39. These mammoth beasts that first carried all the Apollo Saturn V rockets have since borne every space shuttle on the last Earth-bound leg of their journeys to space.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</si>
  <si>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Ui-ehJlGM1Q</t>
  </si>
  <si>
    <t>https://youtu.be/f3fMJmoX-2Y</t>
  </si>
  <si>
    <t>STS-133 Landing</t>
  </si>
  <si>
    <t>Discovery has completed its final mission, STS-133, for NASA's Space Shuttle Program landing on time at Kennedy Space Center in Florida at 11:57 a.m. EST, March 9, 2011 after 202 orbits around Earth and a journey of 5,304,140 miles.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</si>
  <si>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f3fMJmoX-2Y</t>
  </si>
  <si>
    <t>https://youtu.be/5nD8F5dx6nc</t>
  </si>
  <si>
    <t>STS-133 Landing Coverage  Go for deorbit burn</t>
  </si>
  <si>
    <t>Shuttle Discovery and crew have been given the "Go" to start their journey home to Kennedy Space Center in Florida.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</si>
  <si>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5nD8F5dx6nc</t>
  </si>
  <si>
    <t>2011 03 04</t>
  </si>
  <si>
    <t>https://youtu.be/iFnGDI1YgpE</t>
  </si>
  <si>
    <t>Glory Mishap Explanation</t>
  </si>
  <si>
    <t>Launch Commentator George Diller concludes coverage of the Glory/Taurus XL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</si>
  <si>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iFnGDI1YgpE</t>
  </si>
  <si>
    <t>https://youtu.be/zpj5Ufw2Cvs</t>
  </si>
  <si>
    <t>Launch of Glory</t>
  </si>
  <si>
    <t>Taurus XLrocket carrying the Glory spacecraft lifts off from California.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</si>
  <si>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zpj5Ufw2Cvs</t>
  </si>
  <si>
    <t>https://youtu.be/Ycs7ZiznzEk</t>
  </si>
  <si>
    <t>NASA Glory Launch  Introduction to Commentary</t>
  </si>
  <si>
    <t>Ycs7ZiznzEk</t>
  </si>
  <si>
    <t>2011 03 03</t>
  </si>
  <si>
    <t>https://youtu.be/Op-fCpNGWt4</t>
  </si>
  <si>
    <t>NASA Glory Vehicle and Spacecraft Flow</t>
  </si>
  <si>
    <t>Get an inside look at the processing flow as the Glory spacecraft and Taurus XL rocket were prepared for liftoff at Vandenberg Air Force Base, Calif.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</si>
  <si>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Op-fCpNGWt4</t>
  </si>
  <si>
    <t>2011 02 25</t>
  </si>
  <si>
    <t>https://youtu.be/81U6k5pHG84</t>
  </si>
  <si>
    <t>STS-133 Launch Coverage  Crew Suitup, Walkout and Drive to Launch Pad</t>
  </si>
  <si>
    <t>STS-133 Crew Heads to the Pad. The six Discovery astronauts suited up in their flight gear wave to the crowd and board NASA's Astrovan for the short trip to Launch Pad 39A.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</si>
  <si>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81U6k5pHG84</t>
  </si>
  <si>
    <t>https://youtu.be/jUHaPzKMxHg</t>
  </si>
  <si>
    <t>STS-133 Launch Replay VAB Roof TV 5</t>
  </si>
  <si>
    <t>Alternate camera view of Discovery's STS-133 liftoff from Launch Pad 39A at NASA's Kennedy Space Center in Florida captured from the OTV camera 71 at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</si>
  <si>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jUHaPzKMxHg</t>
  </si>
  <si>
    <t>https://youtu.be/_ZmQ5jv_VDU</t>
  </si>
  <si>
    <t>STS-133 OTV CAM 71</t>
  </si>
  <si>
    <t>_ZmQ5jv_VDU</t>
  </si>
  <si>
    <t>https://youtu.be/4-1Oo8OfqHg</t>
  </si>
  <si>
    <t>STS-133 Launch Replay OTV CAM 70</t>
  </si>
  <si>
    <t>Alternate camera view of Discovery's STS-133 liftoff from Launch Pad 39A at NASA's Kennedy Space Center in Florida captured from the OTV camera 70 at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</si>
  <si>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4-1Oo8OfqHg</t>
  </si>
  <si>
    <t>https://youtu.be/4Zjceqkrtjo</t>
  </si>
  <si>
    <t>STS-133 Launch Replay UCS-15 (TV-21A)</t>
  </si>
  <si>
    <t>Alternate camera view of Discovery's STS-133 liftoff from Launch Pad 39A at NASA's Kennedy Space Center in Florida captured from the UCS-15 (TV-21A) at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</si>
  <si>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4Zjceqkrtjo</t>
  </si>
  <si>
    <t>2011 02 24</t>
  </si>
  <si>
    <t>https://youtu.be/NpmqK24SCvI</t>
  </si>
  <si>
    <t>STS-133 External Tank Jettison</t>
  </si>
  <si>
    <t>Discovery is in orbit. With the separation of the solid rocket boosters and external fuel tank, the shuttle and crew are on a 2-day journey to meet up with the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</si>
  <si>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NpmqK24SCvI</t>
  </si>
  <si>
    <t>https://youtu.be/1xfmxhFLaGM</t>
  </si>
  <si>
    <t>STS-133 Launch Coverage  Poll for Launch</t>
  </si>
  <si>
    <t>Launch is "Go." NASA managers poll their teams for a "go" for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</si>
  <si>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1xfmxhFLaGM</t>
  </si>
  <si>
    <t>https://youtu.be/RxFwUG9PiYM</t>
  </si>
  <si>
    <t>STS-133 Space Shuttle Launch</t>
  </si>
  <si>
    <t>Discovery's Last Launch a Spectacular Sight. Space shuttle Discovery roared off Launch Pad 39A on its final flight to the International Space Station to deliver a new module, Robonaut 2 and other critical supplies.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</si>
  <si>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RxFwUG9PiYM</t>
  </si>
  <si>
    <t>https://youtu.be/MlTmMwvToRc</t>
  </si>
  <si>
    <t>STS-133 Crew Ingress</t>
  </si>
  <si>
    <t>NASA's Closeout Crew helped the astronauts with final suit preps, boarding the orbiter and securing them in their seats.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</si>
  <si>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MlTmMwvToRc</t>
  </si>
  <si>
    <t>https://youtu.be/45UAX5U892Q</t>
  </si>
  <si>
    <t>STS-133 Launch Coverage  Introduction to Commentary</t>
  </si>
  <si>
    <t>Welcome to Launch Day. NASA Commentator Mike Curie begins coverage for the final launch of space shuttle Discovery on the STS-133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</si>
  <si>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45UAX5U892Q</t>
  </si>
  <si>
    <t>2011 02 23</t>
  </si>
  <si>
    <t>https://youtu.be/ZOdejadSgaw</t>
  </si>
  <si>
    <t>Glory Launch Coverage  Scrub Discussion</t>
  </si>
  <si>
    <t>Chuck Dovale discusses the scrub of the Taurus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</si>
  <si>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ZOdejadSgaw</t>
  </si>
  <si>
    <t>https://youtu.be/lR5zQtDhj9M</t>
  </si>
  <si>
    <t>Glory Final Launch Readiness Poll</t>
  </si>
  <si>
    <t>lR5zQtDhj9M</t>
  </si>
  <si>
    <t>https://youtu.be/RGG5wxM6QfY</t>
  </si>
  <si>
    <t>Glory Launch Coverage Begins</t>
  </si>
  <si>
    <t>Taurus XL is ready to carry the Glory spacecraft to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</si>
  <si>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RGG5wxM6QfY</t>
  </si>
  <si>
    <t>2011 02 22</t>
  </si>
  <si>
    <t>https://youtu.be/iC7f20bCSHA</t>
  </si>
  <si>
    <t>Kennedy Space Center Hosts the 9 11 Memorial Flag</t>
  </si>
  <si>
    <t>Kennedy Adds Florida Touch to 9/11 Flag. Local heroes stitched a piece of history into the "The National 9/11 Flag" at the KSC Visitor Complex -- the official stop for Florida's contribution to the restoration of the resilient banner.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</si>
  <si>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iC7f20bCSHA</t>
  </si>
  <si>
    <t>https://youtu.be/ul7aDObjDlw</t>
  </si>
  <si>
    <t>NASA's Launch Services Program Mission  Glory</t>
  </si>
  <si>
    <t>NASA's Glory spacecraft is equipped to survey and map aerosols in Earth's atmosphere during a mission marking the return to flight of the Taurus XL rocket.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</si>
  <si>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ul7aDObjDlw</t>
  </si>
  <si>
    <t>2011 02 16</t>
  </si>
  <si>
    <t>https://youtu.be/K0kMxTpRo_Y</t>
  </si>
  <si>
    <t>VAB Wall Signing  Timothy Jace</t>
  </si>
  <si>
    <t>Some of the workers, technicians and managers who helped shape the space shuttle's 30-year history of achievement talked about their favorite memories of the program. Employees and astronauts also have been signing a wall at the Vehicle Assembly Building to record their roles in the NASA legacy.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</si>
  <si>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K0kMxTpRo_Y</t>
  </si>
  <si>
    <t>https://youtu.be/oya-oPxxCqA</t>
  </si>
  <si>
    <t>VAB Wall Signing  Tammy Adkison</t>
  </si>
  <si>
    <t>oya-oPxxCqA</t>
  </si>
  <si>
    <t>https://youtu.be/2AEUesjTeNM</t>
  </si>
  <si>
    <t>VAB Wall Signing  Tamaria Crabtree</t>
  </si>
  <si>
    <t>2AEUesjTeNM</t>
  </si>
  <si>
    <t>https://youtu.be/o5P1HKAMiDQ</t>
  </si>
  <si>
    <t>VAB Wall Signing  Suzane Stuckey</t>
  </si>
  <si>
    <t>o5P1HKAMiDQ</t>
  </si>
  <si>
    <t>https://youtu.be/xy_Hd95_-UA</t>
  </si>
  <si>
    <t>VAB Wall Signing  Sharon Jones</t>
  </si>
  <si>
    <t>xy_Hd95_-UA</t>
  </si>
  <si>
    <t>https://youtu.be/f_dfjy2B5bo</t>
  </si>
  <si>
    <t>VAB Wall Signing  Roland Benoit</t>
  </si>
  <si>
    <t>f_dfjy2B5bo</t>
  </si>
  <si>
    <t>https://youtu.be/6EW_DWB-Ea8</t>
  </si>
  <si>
    <t>VAB Wall Signing  Randy Miner</t>
  </si>
  <si>
    <t>6EW_DWB-Ea8</t>
  </si>
  <si>
    <t>https://youtu.be/h_sSc6hTjMk</t>
  </si>
  <si>
    <t>VAB Wall Signing  Rami Intriago</t>
  </si>
  <si>
    <t>h_sSc6hTjMk</t>
  </si>
  <si>
    <t>https://youtu.be/eUPeGKeb5Tc</t>
  </si>
  <si>
    <t>VAB Wall Signing   Orlando Brown</t>
  </si>
  <si>
    <t>eUPeGKeb5Tc</t>
  </si>
  <si>
    <t>https://youtu.be/eO6E2AQzZQ0</t>
  </si>
  <si>
    <t>VAB Wall Signing  Minako Holdrum</t>
  </si>
  <si>
    <t>eO6E2AQzZQ0</t>
  </si>
  <si>
    <t>https://youtu.be/55J-oCZPFls</t>
  </si>
  <si>
    <t>VAB Wall Signing  Mike Haddad</t>
  </si>
  <si>
    <t>55J-oCZPFls</t>
  </si>
  <si>
    <t>https://youtu.be/lQ3Wwsdmvk0</t>
  </si>
  <si>
    <t>VAB Wall Signing  Michel Brassard</t>
  </si>
  <si>
    <t>lQ3Wwsdmvk0</t>
  </si>
  <si>
    <t>https://youtu.be/X_VwQDHKqLE</t>
  </si>
  <si>
    <t>VAB Wall Signing  Mark Monaghan</t>
  </si>
  <si>
    <t>X_VwQDHKqLE</t>
  </si>
  <si>
    <t>https://youtu.be/ga8QzVb5qgM</t>
  </si>
  <si>
    <t>VAB Wall Signing  Luis Rabelo</t>
  </si>
  <si>
    <t>ga8QzVb5qgM</t>
  </si>
  <si>
    <t>https://youtu.be/gRigtfgvrKY</t>
  </si>
  <si>
    <t>VAB Wall Signing  Kurt Emmick</t>
  </si>
  <si>
    <t>gRigtfgvrKY</t>
  </si>
  <si>
    <t>https://youtu.be/SG59_tNsFYU</t>
  </si>
  <si>
    <t>VAB Wall Signing   Kumar Singh</t>
  </si>
  <si>
    <t>SG59_tNsFYU</t>
  </si>
  <si>
    <t>https://youtu.be/JasogFtey7U</t>
  </si>
  <si>
    <t>VAB Wall Signing  Kerri Freer</t>
  </si>
  <si>
    <t>JasogFtey7U</t>
  </si>
  <si>
    <t>https://youtu.be/ZWdMQSQHksc</t>
  </si>
  <si>
    <t>VAB Wall Signing  Ken Tenbush</t>
  </si>
  <si>
    <t>ZWdMQSQHksc</t>
  </si>
  <si>
    <t>https://youtu.be/qI5G2ku2v6Y</t>
  </si>
  <si>
    <t>VAB Wall Signing  Kelly Jones</t>
  </si>
  <si>
    <t>qI5G2ku2v6Y</t>
  </si>
  <si>
    <t>https://youtu.be/DtlBoTaSQJM</t>
  </si>
  <si>
    <t>VAB Wall Signing  Joshua Santora</t>
  </si>
  <si>
    <t>DtlBoTaSQJM</t>
  </si>
  <si>
    <t>https://youtu.be/2oQ4cnmhS9w</t>
  </si>
  <si>
    <t>VAB Wall Signing  Johnnie Moore</t>
  </si>
  <si>
    <t>2oQ4cnmhS9w</t>
  </si>
  <si>
    <t>https://youtu.be/e3WtfL6kZ_c</t>
  </si>
  <si>
    <t>VAB Wall Signing  Joe Brown</t>
  </si>
  <si>
    <t>e3WtfL6kZ_c</t>
  </si>
  <si>
    <t>https://youtu.be/XAOr9qy2rpE</t>
  </si>
  <si>
    <t>VAB Wall Signing  Jimmy Cornejo</t>
  </si>
  <si>
    <t>XAOr9qy2rpE</t>
  </si>
  <si>
    <t>https://youtu.be/4gO-ea80S_Y</t>
  </si>
  <si>
    <t>VAB Wall Signing  Jimmy Black</t>
  </si>
  <si>
    <t>Some of the workers, technicians and managers who helped shape the space shuttle's 30-year history of achievement talked about their favorite memories of the program. Employees and astronauts also have been signing a wall at the Vehicle Assembly Building to record their roles in the NASA legacy.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</si>
  <si>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4gO-ea80S_Y</t>
  </si>
  <si>
    <t>https://youtu.be/_AmM8LTK63Q</t>
  </si>
  <si>
    <t>VAB Wall Signing  Jeremy Parr</t>
  </si>
  <si>
    <t>_AmM8LTK63Q</t>
  </si>
  <si>
    <t>https://youtu.be/jsLwkhIlDY4</t>
  </si>
  <si>
    <t>VAB Wall Signing  Jeremy Doerfeld</t>
  </si>
  <si>
    <t>jsLwkhIlDY4</t>
  </si>
  <si>
    <t>https://youtu.be/x3n4ruAVw1U</t>
  </si>
  <si>
    <t>VAB Wall Signing  Jeppie Compton</t>
  </si>
  <si>
    <t>x3n4ruAVw1U</t>
  </si>
  <si>
    <t>https://youtu.be/Npo7kkIkqXg</t>
  </si>
  <si>
    <t>VAB Wall Signing  James Ness</t>
  </si>
  <si>
    <t>Npo7kkIkqXg</t>
  </si>
  <si>
    <t>https://youtu.be/hHZfNJlzipg</t>
  </si>
  <si>
    <t>VAB Wall Signing  Georgett Styers</t>
  </si>
  <si>
    <t>hHZfNJlzipg</t>
  </si>
  <si>
    <t>https://youtu.be/kG2TYs1WeNQ</t>
  </si>
  <si>
    <t>VAB Wall Signing  Frank and Simeon</t>
  </si>
  <si>
    <t>kG2TYs1WeNQ</t>
  </si>
  <si>
    <t>https://youtu.be/9eh4dTNOjQg</t>
  </si>
  <si>
    <t>VAB Wall Signing   Ed Laudat</t>
  </si>
  <si>
    <t>9eh4dTNOjQg</t>
  </si>
  <si>
    <t>2011 02 15</t>
  </si>
  <si>
    <t>https://youtu.be/MGXYnmmrwKs</t>
  </si>
  <si>
    <t>VAB Wall Signing  Don Smith</t>
  </si>
  <si>
    <t>Some of the workers, technicians and managers who helped shape the space shuttle's 30-year history of achievement talked about their favorite memories of the program. Employees and astronauts also have been signing a wall at the Vehicle Assembly Building to record their roles in the NASA legacy.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</si>
  <si>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MGXYnmmrwKs</t>
  </si>
  <si>
    <t>https://youtu.be/eu5V2ltWMsA</t>
  </si>
  <si>
    <t>VAB Wall Signing  Douglas Hendrickson</t>
  </si>
  <si>
    <t>eu5V2ltWMsA</t>
  </si>
  <si>
    <t>https://youtu.be/SmF4TLFJACs</t>
  </si>
  <si>
    <t>VAB Wall Signing  Denise Meadows</t>
  </si>
  <si>
    <t>Some of the workers, technicians and managers who helped shape the space shuttle's 30-year history of achievement talked about their favorite memories of the program. Employees and astronauts also have been signing a wall at the Vehicle Assembly Building to record their roles in the NASA legacy.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</si>
  <si>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SmF4TLFJACs</t>
  </si>
  <si>
    <t>https://youtu.be/dKJ0tPJSN6c</t>
  </si>
  <si>
    <t>VAB Wall Signing  Denise, Laura and Carolyn</t>
  </si>
  <si>
    <t>dKJ0tPJSN6c</t>
  </si>
  <si>
    <t>https://youtu.be/vy0w15iY3nA</t>
  </si>
  <si>
    <t>VAB Wall Signing  Denice Calderon</t>
  </si>
  <si>
    <t>vy0w15iY3nA</t>
  </si>
  <si>
    <t>https://youtu.be/zuBoToo3t_U</t>
  </si>
  <si>
    <t>VAB Wall Signing  Dean Millsaps</t>
  </si>
  <si>
    <t>zuBoToo3t_U</t>
  </si>
  <si>
    <t>https://youtu.be/5QH8O-D0ZVM</t>
  </si>
  <si>
    <t>VAB Wall Signing  Dean Pettit</t>
  </si>
  <si>
    <t>5QH8O-D0ZVM</t>
  </si>
  <si>
    <t>https://youtu.be/PHElawLRSHk</t>
  </si>
  <si>
    <t>VAB Wall Signing  Corrie Lamkin</t>
  </si>
  <si>
    <t>PHElawLRSHk</t>
  </si>
  <si>
    <t>https://youtu.be/j70cDeDy9d4</t>
  </si>
  <si>
    <t>VAB Wall Signing  Clark Ford</t>
  </si>
  <si>
    <t>j70cDeDy9d4</t>
  </si>
  <si>
    <t>https://youtu.be/ehrekVROQ3Y</t>
  </si>
  <si>
    <t>VAB Wall Signing  Chuck and Jane Kleinschmidt</t>
  </si>
  <si>
    <t>ehrekVROQ3Y</t>
  </si>
  <si>
    <t>https://youtu.be/k1A2XpIc2No</t>
  </si>
  <si>
    <t>VAB Wall Signing  Cathy DiBiase</t>
  </si>
  <si>
    <t>k1A2XpIc2No</t>
  </si>
  <si>
    <t>https://youtu.be/QlvNbRfuGxk</t>
  </si>
  <si>
    <t>VAB Wall Signing  Brandon Gaskin</t>
  </si>
  <si>
    <t>QlvNbRfuGxk</t>
  </si>
  <si>
    <t>https://youtu.be/0qgGRhlJ2UY</t>
  </si>
  <si>
    <t>VAB Wall Signing  Berni, Dave, Cordell and Hal</t>
  </si>
  <si>
    <t>0qgGRhlJ2UY</t>
  </si>
  <si>
    <t>https://youtu.be/jzw92KSlpA0</t>
  </si>
  <si>
    <t>VAB Wall Signing  Becky, Bob, and Jamie</t>
  </si>
  <si>
    <t>jzw92KSlpA0</t>
  </si>
  <si>
    <t>https://youtu.be/cOfU4xFk-6k</t>
  </si>
  <si>
    <t>VAB Wall Signing  Antonio Pego</t>
  </si>
  <si>
    <t>cOfU4xFk-6k</t>
  </si>
  <si>
    <t>https://youtu.be/mwpgm-RgLaM</t>
  </si>
  <si>
    <t>VAB Wall Signing  Angie Brewer</t>
  </si>
  <si>
    <t>mwpgm-RgLaM</t>
  </si>
  <si>
    <t>https://youtu.be/k7ir25YuZHA</t>
  </si>
  <si>
    <t>VAB Wall Signing  Alonzo Gee</t>
  </si>
  <si>
    <t>k7ir25YuZHA</t>
  </si>
  <si>
    <t>https://youtu.be/M3s6eJ1ocbI</t>
  </si>
  <si>
    <t>VAB Wall Signing  Albert Fazio</t>
  </si>
  <si>
    <t>M3s6eJ1ocbI</t>
  </si>
  <si>
    <t>2011 02 01</t>
  </si>
  <si>
    <t>https://youtu.be/EOpZNPvj-PA</t>
  </si>
  <si>
    <t>STS-133 Rollout</t>
  </si>
  <si>
    <t>For a second time space shuttle Discovery is moved to Launch Pad 39A for its last flight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</si>
  <si>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EOpZNPvj-PA</t>
  </si>
  <si>
    <t>2011 01 28</t>
  </si>
  <si>
    <t>https://youtu.be/3xV2icSF2T8</t>
  </si>
  <si>
    <t>Kennedy Space Center 25th Anniversary of the Challenger Tragedy</t>
  </si>
  <si>
    <t>The NASA community paused Friday to remember the sacrifice of the Challenger crew 25 years ago. Families of the seven astronauts and agency officials gathered at the Kennedy Space Center Visitor Complex on Jan. 28, 2011, to mark the anniversary.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</si>
  <si>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3xV2icSF2T8</t>
  </si>
  <si>
    <t>2011 01 26</t>
  </si>
  <si>
    <t>https://youtu.be/llgl_rhe4vg</t>
  </si>
  <si>
    <t>Green Touches Energize Kennedy's Newest Facility</t>
  </si>
  <si>
    <t>llgl_rhe4vg</t>
  </si>
  <si>
    <t>2011 01 24</t>
  </si>
  <si>
    <t>https://youtu.be/szvEdc3Vnpw</t>
  </si>
  <si>
    <t>Space Shuttle Flyout Series  Launch Directors</t>
  </si>
  <si>
    <t>A space shuttle launch director is the leader of the complex choreography that goes into a shuttle liftoff. Ten people have served as shuttle launch directors, making the final decision whether the spacecraft is "go for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</si>
  <si>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szvEdc3Vnpw</t>
  </si>
  <si>
    <t>2010 12 22</t>
  </si>
  <si>
    <t>https://youtu.be/UihABM410w8</t>
  </si>
  <si>
    <t>In Their Own Words  Astronaut Leland Melvin</t>
  </si>
  <si>
    <t>Astronaut Leland Melvin talks about the inspiration of dining in space with an international crew, the varied blues of the Caribbean and the challenges of inspiring students and teachers.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</si>
  <si>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UihABM410w8</t>
  </si>
  <si>
    <t>2010 12 21</t>
  </si>
  <si>
    <t>https://youtu.be/fjwcssuUb5Y</t>
  </si>
  <si>
    <t>NASA STEREO Launch</t>
  </si>
  <si>
    <t>The Delta II rocket lights the evening sky as STEREO heads into space. STEREO (Solar Terrestrial Relations Observatory) is a two-y The Delta II rocket lights the evening sky as STEREO heads into space. STEREO (Solar Terrestrial Relations Observatory) is a two-year mission using two nearly identical observatories, one ahead of Earth in its orbit and the other trailing behind. The duo will provide 3-D measurements of the sun and its flow of energy, enabling scientists to study the nature of coronal mass ejections and why they happen.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</si>
  <si>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fjwcssuUb5Y</t>
  </si>
  <si>
    <t>https://youtu.be/9fiUYbitL88</t>
  </si>
  <si>
    <t>STS-115 Space Shuttle Landing</t>
  </si>
  <si>
    <t>A perfect landing for Atlantis at Kennedy's Shuttle Landing Facility. Touchdown completes STS-115's successful mission to resume construction of the International Space Station. The crew of six delivered the P3/P4 integrated truss segment and conducted three successful spacewalks primarily devoted to preparing the truss and its solar arrays for operation.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</si>
  <si>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9fiUYbitL88</t>
  </si>
  <si>
    <t>https://youtu.be/NhOkuMYy_wY</t>
  </si>
  <si>
    <t>STS-115 Space Shuttle Launch</t>
  </si>
  <si>
    <t>Space Shuttle Atlantis rumbles its way to space through a beautiful Florida sky. Atlantis will fly on mission STS-115 with a crew of six to deliver and install the P3/P4 segment to the port side of the integrated truss system on the orbital outpost. STS-115 is expected to last 11 days and includes three scheduled spacewalks.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</si>
  <si>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NhOkuMYy_wY</t>
  </si>
  <si>
    <t>https://youtu.be/I5v2dhGRu2w</t>
  </si>
  <si>
    <t>NASA THEMIS Launch</t>
  </si>
  <si>
    <t>THEMIS heads for space to study the Northern Lights. The mission will investigate what causes auroras in the Earth's atmosphere to THEMIS heads for space to study the Northern Lights. The mission will investigate what causes auroras in the Earth's atmosphere to dramatically change from slowly shimmering waves of light to wildly shifting streaks of bright color.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</si>
  <si>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I5v2dhGRu2w</t>
  </si>
  <si>
    <t>https://youtu.be/XX7-yFeyZH4</t>
  </si>
  <si>
    <t>STS-121 SHUTTLE Launch</t>
  </si>
  <si>
    <t>On the Nation's birthday, Space Shuttle Discovery pierced the clear blue Florida sky, carrying its crew of seven on mission STS-121 to the International Space Station. This is the first shuttle to ever lift off on the July 4 holiday, providing a view more spectacular than any fireworks display.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</si>
  <si>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XX7-yFeyZH4</t>
  </si>
  <si>
    <t>https://youtu.be/stn1itXZd4Q</t>
  </si>
  <si>
    <t>STS-121 Shuttle Landing</t>
  </si>
  <si>
    <t>Carrying a crew of six astronauts, Discovery comes in for a perfect landing at Kennedy Space Center's Shuttle Landing Facility. Landing took place at 9:14 a.m. EDT on Runway 15. During the 13-day mission, the STS-121 crew tested new equipment and procedures to improve shuttle safety, and delivered supplies and made repairs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</si>
  <si>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stn1itXZd4Q</t>
  </si>
  <si>
    <t>https://youtu.be/l82qSyz_3lc</t>
  </si>
  <si>
    <t>STS-116 Space Shuttle Landing</t>
  </si>
  <si>
    <t>Space Shuttle Discovery makes a picture-perfect landing at Kennedy's Shuttle Landing Facility. The STS-116 crew is returning home Space Shuttle Discovery makes a picture-perfect landing at Kennedy's Shuttle Landing Facility. The STS-116 crew is returning home after a successful mission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</si>
  <si>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l82qSyz_3lc</t>
  </si>
  <si>
    <t>https://youtu.be/4AhO0Aqa2rQ</t>
  </si>
  <si>
    <t>STS-116 Space Shuttle Launch</t>
  </si>
  <si>
    <t>Watch the spectacular launch of Space Shuttle Discovery -- the first night launch in four years!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</si>
  <si>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4AhO0Aqa2rQ</t>
  </si>
  <si>
    <t>https://youtu.be/AS4d1FQmj-w</t>
  </si>
  <si>
    <t>NASA's AIM Launch</t>
  </si>
  <si>
    <t>The Pegasus rocket successfully carried the AIM spacecraft into orbit. AIM will fly three instruments designed to study polar mesospheric clouds located at the edge of space, 50 miles above the Earth's surface in the coldest part of the planet's atmosphere. The mission's primary goal is to explain why these clouds form and what has caused them to become brighter and more numerous and appear at lower latitudes in recent years.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</si>
  <si>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AS4d1FQmj-w</t>
  </si>
  <si>
    <t>https://youtu.be/yTFL881jaMo</t>
  </si>
  <si>
    <t>Chandra X-ray Observatory - Episode 1</t>
  </si>
  <si>
    <t>Beyond the Light: Seeing is believing and what we observe stargazing or looking at photographs convinces us it's real. But there's more to the universe than meets the eye. Beyond what the eyes can see exists a hidden universe. An INVISIBLE Universe...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</si>
  <si>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yTFL881jaMo</t>
  </si>
  <si>
    <t>2010 12 20</t>
  </si>
  <si>
    <t>https://youtu.be/mRh4TmKEZUw</t>
  </si>
  <si>
    <t>STS-117 Space Shuttle Atlantis Rolls Out to the Pad</t>
  </si>
  <si>
    <t>Space Shuttle Atlantis, mounted on a mobile launch platform atop a crawler transporter, heads for Launch Pad 39A. This is the second rollout for the shuttle. First motion out of the Vehicle Assembly Building was at 5:02 a.m. EDT. In late February, while Atlantis was on the launch pad, Atlantis' external tank received hail damage during a severe thunderstorm that passed through the Kennedy Space Center Launch Complex 39 area.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</si>
  <si>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mRh4TmKEZUw</t>
  </si>
  <si>
    <t>https://youtu.be/KP-hjV4anUk</t>
  </si>
  <si>
    <t>STS-117 Space Shuttle Atlantis Lands in California</t>
  </si>
  <si>
    <t>Atlantis arrived back on Earth, touching down at Edwards Air Force Base at 3:49 p.m. EDT. Sturckow and Pilot Lee Archambault guided the vehicle as it made its steep descent from space toward the California desert runway, concluding a successful 14-day construction mission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</si>
  <si>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KP-hjV4anUk</t>
  </si>
  <si>
    <t>https://youtu.be/N-2jpHjcNWk</t>
  </si>
  <si>
    <t>Atlantis and Crew Get the Job Done</t>
  </si>
  <si>
    <t>Atlantis lifted off on time into a clear blue Florida sky, carrying the seven member crew on mission STS-117. With the June 8 launch, Commander Rick Sturckow, Pilot Lee Archambault, Mission Specialists James Reilly, Steven Swanson, Patrick Forrester, John "Danny" Olivas, and Clayton Anderson were off to carry out the next phase of construction on the International Space Station. From liftoff to touchdown, learn what they accomplished as they installed the S3/S4 truss segment.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</si>
  <si>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N-2jpHjcNWk</t>
  </si>
  <si>
    <t>https://youtu.be/sKqp9m5YkIc</t>
  </si>
  <si>
    <t>Kennedy Space Center 45th Anniversary</t>
  </si>
  <si>
    <t>Kennedy Space Center celebrates 45th years of serving as the nation's spaceflight center.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</si>
  <si>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sKqp9m5YkIc</t>
  </si>
  <si>
    <t>https://youtu.be/A5NAPVGlmUY</t>
  </si>
  <si>
    <t>Preparing Dawn for Launch</t>
  </si>
  <si>
    <t>See what goes into processing a Delta II rocket and the Dawn spacecraft for a mission to the asteroid belt. The Dawn mission will study the asteroid Vesta and dwarf planet Ceres, celestial bodies believed to have accreted early in the history of the solar system.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</si>
  <si>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A5NAPVGlmUY</t>
  </si>
  <si>
    <t>https://youtu.be/W7AsV2M1PoA</t>
  </si>
  <si>
    <t>Chandra X-ray Observatory - Episode 2</t>
  </si>
  <si>
    <t>W7AsV2M1PoA</t>
  </si>
  <si>
    <t>https://youtu.be/sn8vqr3WCYo</t>
  </si>
  <si>
    <t>Cross-culture Effort Gives Rise to Hope</t>
  </si>
  <si>
    <t>Cross-culture effort gives rise to 'Hope.' The Hope module is one of the components of the Japanese Experiment Module or JEM, also known as Kibo, which means "hope" in Japanese. Kibo will enhance the unique research capabilities of the orbiting complex by providing an additional environment in which astronauts can conduct science experiments. The various components of JEM will be assembled in space over the course of three Space Shuttle missions.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</si>
  <si>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sn8vqr3WCYo</t>
  </si>
  <si>
    <t>https://youtu.be/3zr_3CWLamo</t>
  </si>
  <si>
    <t>Mars Phoenix Launch</t>
  </si>
  <si>
    <t>The Mars Phoenix Lander lifted off aboard a Delta II rocket. When the spacecraft arrives on the red planet, the lander's robotic arm will be used to dig through the top soil layer to the water ice below and ultimately bring both soil and water ice back to the lander platform for analysis.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</si>
  <si>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3zr_3CWLamo</t>
  </si>
  <si>
    <t>https://youtu.be/Ts7O1yZQwOM</t>
  </si>
  <si>
    <t>Delta II History</t>
  </si>
  <si>
    <t>The Delta II rocket family traces back to the first Delta launch in 1960. Since its first launch, the rocket has seen steady improvement and has become a robust and consistent powerhouse for NASA missions.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</si>
  <si>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Ts7O1yZQwOM</t>
  </si>
  <si>
    <t>https://youtu.be/oYdkLm9f1QQ</t>
  </si>
  <si>
    <t>STS-118 Space Shuttle Launch</t>
  </si>
  <si>
    <t>Rising from clouds of smoke and steam, Space Shuttle Endeavour roars into the early evening sky as it lifts off Launch Pad 39A on time at 6:36 p.m. EDT. The STS-118 mission is the 22nd shuttle flight to the International Space Station. It will continue space station construction by delivering a third starboard truss segment, S5, and other payloads such as the SPACEHAB module and the external stowage platform 3. The 11-day mission may be extended to as many as 14 depending on the test of the Station-to-Shuttle Power Transfer System that will allow the docked shuttle to draw electrical power from the station and extend its visits to the orbiting lab.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</si>
  <si>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oYdkLm9f1QQ</t>
  </si>
  <si>
    <t>https://youtu.be/r15QlpFchbQ</t>
  </si>
  <si>
    <t>STS-118 Space Shuttle Landing</t>
  </si>
  <si>
    <t>Space Shuttle Endeavour rolled to a stop Tuesday at the Shuttle Landing Facility after a perfect landing at Kennedy Space Center in Florida.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</si>
  <si>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r15QlpFchbQ</t>
  </si>
  <si>
    <t>https://youtu.be/LuT0UHOvE50</t>
  </si>
  <si>
    <t>STS-118 Mission Accomplished</t>
  </si>
  <si>
    <t>Mission Accomplished! Four spacewalks on mission STS-118 brought the International Space Station closer to completion. Mission STS-118 marked Endeavour's return to space for the first time in more than four years.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</si>
  <si>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LuT0UHOvE50</t>
  </si>
  <si>
    <t>https://youtu.be/UnqGRsF0bWo</t>
  </si>
  <si>
    <t>NASA Astronaut Joan Higginbotham</t>
  </si>
  <si>
    <t>Joan Higginbotham talks about how she became a NASA astronaut and her experiences in space in this "In Their Own Words"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</si>
  <si>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UnqGRsF0bWo</t>
  </si>
  <si>
    <t>https://youtu.be/nNo45yJyqxw</t>
  </si>
  <si>
    <t>Chandra X-ray Observatory - Episode 3</t>
  </si>
  <si>
    <t>Episode 3: Supernovas
Brilliantly bright and wrought with destructive power, supernovas and their gaseous remnants are a frequent target of the Chandra X-ray Observatory.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</si>
  <si>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nNo45yJyqxw</t>
  </si>
  <si>
    <t>https://youtu.be/St0vwbj9moY</t>
  </si>
  <si>
    <t>Dawn Launch</t>
  </si>
  <si>
    <t>The Dawn spacecraft thundered off the launch pad aboard a Delta II rocket on the first part of its journey to the asteroid belt.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</si>
  <si>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St0vwbj9moY</t>
  </si>
  <si>
    <t>https://youtu.be/rUks2BROvWg</t>
  </si>
  <si>
    <t>NASA Astronaut Sunita Williams</t>
  </si>
  <si>
    <t>In this "In Their Own Words" video, NASA astronaut Sunita Williams talks about her love of space flight, her tenure at the International Space Station and her beloved pet Gorby.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</si>
  <si>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rUks2BROvWg</t>
  </si>
  <si>
    <t>https://youtu.be/k1eP5RBv8XI</t>
  </si>
  <si>
    <t>STS-120 Space Shuttle Discovery Rollout</t>
  </si>
  <si>
    <t>Space shuttle Discovery is in place for launch on the STS-120 mission after rolling from the Vehicle Assembly Building to Launch Pad 39A on Sept. 30, 2007. Rollout is a milestone for Discovery's launch to the International Space Station on mission STS-120. The crew will deliver and install the Italian-built U.S. Node 2, named Harmony. The pressurized module will act as an internal connecting port and passageway to additional international science labs and cargo spacecraft.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</si>
  <si>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k1eP5RBv8XI</t>
  </si>
  <si>
    <t>https://youtu.be/0jkErVV06wk</t>
  </si>
  <si>
    <t>Mission STS-120 Preflight Training</t>
  </si>
  <si>
    <t>The STS-120 mission astronauts participated in three days of intensive training at NASA's Kennedy Space Center for the upcoming launch of Space Shuttle Discovery.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</si>
  <si>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0jkErVV06wk</t>
  </si>
  <si>
    <t>2010 12 17</t>
  </si>
  <si>
    <t>https://youtu.be/qJ229mP4eIo</t>
  </si>
  <si>
    <t>STS-120 Astronaut Webcast</t>
  </si>
  <si>
    <t>NASA astronaut Sandra Magnus, who flew in space on the STS-112 mission, answers your questions during the STS-120 webcast.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</si>
  <si>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qJ229mP4eIo</t>
  </si>
  <si>
    <t>https://youtu.be/RQGi2talj6E</t>
  </si>
  <si>
    <t>STS-120 Space Shuttle Discovery SRB Camera Views</t>
  </si>
  <si>
    <t>Cameras on the solid rocket boosters record the separation from Space Shuttle Discovery (no audio).
Mission STS-120 is the 23rd shuttle flight to the International Space Station continuing station construction
by delivering and installing an Italian-built U.S. multi-port module called Harmony.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</si>
  <si>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RQGi2talj6E</t>
  </si>
  <si>
    <t>https://youtu.be/ysVeRSUHflM</t>
  </si>
  <si>
    <t>STS-122 Astronaut Webcast</t>
  </si>
  <si>
    <t>The STS-122 webcast provides an in-depth look at this 11-day mission to deliver the European Space Agency's Columbus laboratory to the International Space Station. The event is hosted by Allard Beutel, news chief at NASA's Kennedy Space Center in Florida, and features astronaut Robert Satcher.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</si>
  <si>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ysVeRSUHflM</t>
  </si>
  <si>
    <t>https://youtu.be/cgreS7wi2fg</t>
  </si>
  <si>
    <t>STS-120 Space Shuttle Launch</t>
  </si>
  <si>
    <t>The crew of STS-120 is safely in orbit and on their way to the International Space Station following a flawless liftoff from NASA"s Kennedy Space Center in Florida.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</si>
  <si>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cgreS7wi2fg</t>
  </si>
  <si>
    <t>https://youtu.be/qUBzpzboYLI</t>
  </si>
  <si>
    <t>STS-120 Space Shuttle Landing</t>
  </si>
  <si>
    <t>Space shuttle Discovery descended to a smooth landing at Kennedy Space Center, Fla., concluding a successful assembly mission to the International Space Station. With Commander Pam Melroy and Pilot George Zamka at the controls, Discovery landed at 1:01 p.m. EST.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</si>
  <si>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qUBzpzboYLI</t>
  </si>
  <si>
    <t>https://youtu.be/THOgjdP9I7Y</t>
  </si>
  <si>
    <t>STS-122 Space Shuttle Atlantis Rollout</t>
  </si>
  <si>
    <t>Space shuttle Atlantis makes the slow and steady trek to Launch Pad 39A completing the next major step toward the launch of mission STS-122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</si>
  <si>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THOgjdP9I7Y</t>
  </si>
  <si>
    <t>https://youtu.be/gP-kirqjAwE</t>
  </si>
  <si>
    <t>STS-122 TCDT</t>
  </si>
  <si>
    <t>The Atlantis astronauts wrap up launch dress rehearsal at Kennedy Space Center for mission STS-122. The crew will deliver the Columbus module, a multifunctional, pressurized laboratory that will be permanently attached to the Harmony U.S. Node 2,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</si>
  <si>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gP-kirqjAwE</t>
  </si>
  <si>
    <t>https://youtu.be/7PgtHWHRrXE</t>
  </si>
  <si>
    <t>Chandra X-ray Observatory</t>
  </si>
  <si>
    <t>Dark Matter
What cosmic ingredient is lurking in the darkness, undetectable by any of our telescopes, holding galaxies together when they should be flung apart?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</si>
  <si>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7PgtHWHRrXE</t>
  </si>
  <si>
    <t>https://youtu.be/-uDljmYqy1U</t>
  </si>
  <si>
    <t xml:space="preserve">Why do we send anything into space </t>
  </si>
  <si>
    <t>NASA Commentator George Diller explains how sending spacecraft into space has a major impact on our daily lives. This video provides a fascinating tour behind the scenes of NASA's Launch Services Program.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</si>
  <si>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-uDljmYqy1U</t>
  </si>
  <si>
    <t>https://youtu.be/wNMsKKN4m9k</t>
  </si>
  <si>
    <t>Kennedy Space Center Home of the Space Shuttle</t>
  </si>
  <si>
    <t>From touch down after a mission -- through processing for the next flight -- to liftoff again -- NASA's Space Shuttle fleet calls the Kennedy Space Center home. It takes a vast array of facilities and workers to prepare, launch, and land the Shuttles -- a process KSC has handled for more than twenty years.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</si>
  <si>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wNMsKKN4m9k</t>
  </si>
  <si>
    <t>https://youtu.be/JA9eH2Pryis</t>
  </si>
  <si>
    <t>Phoenix Webcast</t>
  </si>
  <si>
    <t>Join host Tiffany Nail as she takes you on an exclusive, behind-the-scenes tour to see how the Phoenix spacecraft and Delta II rocket are prepared for launch as this exciting new mission to Mars is poised to take us another step closer to understanding the mysteries of the red planet. In addition, the experts are set to answer some of your questions that were submitted to our question board, so watch the webcast to learn more.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</si>
  <si>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JA9eH2Pryis</t>
  </si>
  <si>
    <t>https://youtu.be/Z8ILNPh3Rbo</t>
  </si>
  <si>
    <t>NASA Astronaut Stephen Frick</t>
  </si>
  <si>
    <t>STS-122 Commander Stephen Frick talks about spaceflight.</t>
  </si>
  <si>
    <t>Z8ILNPh3Rbo</t>
  </si>
  <si>
    <t>2010 12 16</t>
  </si>
  <si>
    <t>https://youtu.be/_-KS-mJX858</t>
  </si>
  <si>
    <t>STS-122 Mission Update</t>
  </si>
  <si>
    <t>A mission update previewing the launch of space shuttle Atlantis. The show features an interview with NASA Test Director Steve Payne. He'll discuss the preparation Atlantis has undergone throughout the process of repairing the connector on the external tank and the importance of delivering the European Space Agency's Columbus module to the International Space Station.</t>
  </si>
  <si>
    <t>_-KS-mJX858</t>
  </si>
  <si>
    <t>https://youtu.be/9zf9pK5-3ew</t>
  </si>
  <si>
    <t>STS-122 Space Shuttle Landing</t>
  </si>
  <si>
    <t>Atlantis and the STS-122 crew landed safely at NASA's Kennedy Space Center, after delivering the European Columbus module and a new crew member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</si>
  <si>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9zf9pK5-3ew</t>
  </si>
  <si>
    <t>https://youtu.be/jqGUco8zzPs</t>
  </si>
  <si>
    <t>STS-122 Space Shuttle Launch</t>
  </si>
  <si>
    <t>Commander Steve Frick and his STS-122 crewmates will deliver the European Space Agency's Columbus module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</si>
  <si>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jqGUco8zzPs</t>
  </si>
  <si>
    <t>https://youtu.be/fnyCBRDcZjk</t>
  </si>
  <si>
    <t>STS-123 TCDT</t>
  </si>
  <si>
    <t>The Terminal Countdown Demonstration Test, also known as TCDT provides shuttle crews and launch ground teams with an opportunity to participate in simulated countdown activities, including equipment familiarization and emergency training.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</si>
  <si>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fnyCBRDcZjk</t>
  </si>
  <si>
    <t>https://youtu.be/pllw0lEK-bs</t>
  </si>
  <si>
    <t>STS-123 Mission Webcast Part 2 of 2</t>
  </si>
  <si>
    <t>The STS-123 webcast provides an in-depth look at this 16-day mission which will deliver the first section of the Japan Aerospace Exploration Agency's Kibo laboratory and the Canadian Space Agency's two-armed robotic system, Dextre to the International Space Station. 
The event is hosted by Allard Beutel, news chief at NASA's Kennedy Space Center in Florida, and features Canadian Space Agency's Julie Payette providing insights into the mission and answering selected questions from our question board participants.</t>
  </si>
  <si>
    <t>pllw0lEK-bs</t>
  </si>
  <si>
    <t>2010 12 15</t>
  </si>
  <si>
    <t>https://youtu.be/kuIwF1Ex1pU</t>
  </si>
  <si>
    <t>STS-123 Space Shuttle Launch</t>
  </si>
  <si>
    <t>Space shuttle Endeavour thundered into orbit early Tuesday morning carrying seven astronauts and Japan's dreams for a space-based laboratory at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</si>
  <si>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kuIwF1Ex1pU</t>
  </si>
  <si>
    <t>https://youtu.be/X5xEKQWpU9M</t>
  </si>
  <si>
    <t>STS-123 Mission Webcast Part 1 of 2</t>
  </si>
  <si>
    <t>The STS-123 webcast provides an in-depth look at this 16-day mission which will deliver the first section of the Japan Aerospace Exploration Agency's Kibo laboratory and the Canadian Space Agency's two-armed robotic system, Dextre to the International Space Station. 
The event is hosted by Allard Beutel, news chief at NASA's Kennedy Space Center in Florida, and features Canadian Space Agency's Julie Payette providing insights into the mission and answering selected questions from our question board participants.</t>
  </si>
  <si>
    <t>X5xEKQWpU9M</t>
  </si>
  <si>
    <t>https://youtu.be/AsBZSZrzWDg</t>
  </si>
  <si>
    <t>STS-117 Space Shuttle Launch</t>
  </si>
  <si>
    <t>Flames flow from the solid rocket boosters as Space Shuttle Atlantis speeds through the sky after liftoff from Launch Pad 39A. Liftoff was on-time at 7:38:04 p.m. EDT. The shuttle is delivering a new segment to the starboard side of the International Space Station's backbone, known as the truss. Three spacewalks are planned to install the S3/S4 truss segment, deploy a set of solar arrays and prepare them for operation. STS-117 is the 118th space shuttle flight, the 21st flight to the station, the 28th flight for Atlantis and the first of four flights planned for 2007.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</si>
  <si>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AsBZSZrzWDg</t>
  </si>
  <si>
    <t>https://youtu.be/HYcsCzjWe3Q</t>
  </si>
  <si>
    <t>STS-122 Landing Pilot Point of View</t>
  </si>
  <si>
    <t>HYcsCzjWe3Q</t>
  </si>
  <si>
    <t>https://youtu.be/ggX0jxxxocI</t>
  </si>
  <si>
    <t>Space Launch Complex 40 Demolished</t>
  </si>
  <si>
    <t>The mobile service tower, or gantry, at Space Launch Complex 40 on Cape Canaveral Air Force Station falls to the ground after the base was demolished. The tall lightning towers around it will remain. This mammoth structure, with its cavernous clean room, was used for the final spacecraft launch preparations for NASA's Cassini spacecraft, currently orbiting Saturn. The launch occurred on Oct. 15, 1997, aboard an Air Force Titan IV-Centaur rocket. The facilities at the pad are being dismantled to make room for the construction of launch pad access and servicing facilities for the new Falcon rockets to be launched by Space Exploration Technologies, known as SpaceX.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</si>
  <si>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ggX0jxxxocI</t>
  </si>
  <si>
    <t>https://youtu.be/p8xx6u7ddL0</t>
  </si>
  <si>
    <t>STS-124 Space Shuttle Discovery Rollout</t>
  </si>
  <si>
    <t>Space shuttle Discovery made the long, slow trek out to Launch Pad 39A at NASA's Kennedy Space Center on Saturday. Carried by the slow-moving crawler-transporter, the shuttle assembly atop the mobile launcher platform began rolling out of the Vehicle Assembly Building at 11:47 p.m. EDT Friday night and was secured at the pad at 6:06 a.m. The 3.4-mile journey is one of the last major milestones leading up to the launch of Discovery on the STS-124 mission, targeted for May 31.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</si>
  <si>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p8xx6u7ddL0</t>
  </si>
  <si>
    <t>https://youtu.be/kom22OHv_3g</t>
  </si>
  <si>
    <t>STS-124 Astronauts Wrap Up Launch Rehearsal</t>
  </si>
  <si>
    <t>The seven-member STS-124 crew participated Friday in a launch dress rehearsal at NASA's Kennedy Space Center in Florida. Part of the three-day terminal countdown demonstration test, the rehearsal called for the astronauts to be fully suited for liftoff as they simulated the final hours of the countdown. They concluded the event by practicing an emergency escape from Launch Pad 39A.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</si>
  <si>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kom22OHv_3g</t>
  </si>
  <si>
    <t>https://youtu.be/7WouER2jb5o</t>
  </si>
  <si>
    <t>Skylab, A home above our home planet</t>
  </si>
  <si>
    <t>The Skylab project launched America's first space station into orbit 35 years ago. The orbital workshop hosted three crews of astronauts on missions of 28 days, 59 days and 84 days.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</si>
  <si>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7WouER2jb5o</t>
  </si>
  <si>
    <t>https://youtu.be/xeOaipcNFac</t>
  </si>
  <si>
    <t>Mode VIII Training at NASA's Kennedy Space Center</t>
  </si>
  <si>
    <t>While a sea rescue of a shuttle crew is the most complicated, the Mode VIII is just one of several emergency rescue drills conducted regularly at NASA's Kennedy Space Center in Florida.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</si>
  <si>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xeOaipcNFac</t>
  </si>
  <si>
    <t>https://youtu.be/K_x6OJ-yvs0</t>
  </si>
  <si>
    <t>STS-124 L-1 Mission Update</t>
  </si>
  <si>
    <t>The STS-124 L-1 Mission Update takes you behind the scenes as NASA prepares to launch the Japan Aerospace Exploration Agency's Kibo Laboratory Module-Pressurized Module. Hosted by Allard Beutel, news chief at NASA's Kennedy Space Center in Florida, the show features NASA astronaut Michael Foale, who provides insights on the upcoming mission and answers questions submitted to our question board.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</si>
  <si>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K_x6OJ-yvs0</t>
  </si>
  <si>
    <t>https://youtu.be/MUn0mP7LwcI</t>
  </si>
  <si>
    <t>STS-124 Space Shuttle Launch</t>
  </si>
  <si>
    <t>Space shuttle Discovery rocketed into space safely this evening to begin a 14-day mission to attach a new scientific module to the International Space Station. Launch came at 5:02 p.m. EDT from NASA's Kennedy Space Center in Florida and set Discovery on a trajectory to intercept the space station in two days.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</si>
  <si>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MUn0mP7LwcI</t>
  </si>
  <si>
    <t>2010 12 14</t>
  </si>
  <si>
    <t>https://youtu.be/N9hQTF8gPVU</t>
  </si>
  <si>
    <t>GLAST Webcast</t>
  </si>
  <si>
    <t>Join host Tiffany Nail for an exclusive behind-the-scenes look at the GLAST mission.
NASA's Gamma-Ray Large Area Space Telescope (GLAST) is a powerful space observatory that will open a wide window on the universe. Gamma rays are the highest-energy form of light, and the gamma-ray sky is spectacularly different from the one we perceive with our own eyes. With a huge leap in all key capabilities, GLAST data will enable scientists to answer persistent questions across a broad range of topics, including supermassive black-hole systems, pulsars, the origin of cosmic rays, and searches for signals of new physics.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</si>
  <si>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N9hQTF8gPVU</t>
  </si>
  <si>
    <t>https://youtu.be/4UHv5woS0mA</t>
  </si>
  <si>
    <t>GLAST Launch</t>
  </si>
  <si>
    <t>At 12:05 p.m. EDT, the Delta II rocket easily lifted the GLAST spacecraft off the launch pad, out of smoke and clouds and into a beautiful Florida sky headed for space. GLAST is now on its own with its solar arrays deployed and placed into a circular orbit 350 miles above the Earth, prepared to monitor the universe and the mysterious gamma-ray bursts.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</si>
  <si>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4UHv5woS0mA</t>
  </si>
  <si>
    <t>https://youtu.be/KCIgnUO2AWw</t>
  </si>
  <si>
    <t>STS-124 Space Shuttle Landing</t>
  </si>
  <si>
    <t>With Commander Mark Kelly and Pilot Ken Ham at the controls, space shuttle Discovery descended to a smooth landing at Kennedy Space Center, Fla. The STS-124 crew concluded their successful assembly mission to the International Space Station when the shuttle landed at 11:15 a.m. EDT.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</si>
  <si>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KCIgnUO2AWw</t>
  </si>
  <si>
    <t>https://youtu.be/bL0ifDm8IZ4</t>
  </si>
  <si>
    <t>OSTM Jason-2 Launch</t>
  </si>
  <si>
    <t>The OSTM/Jason-2 spacecraft will be delivered into a circular, low Earth orbit, where it will begin its three-year mission to map the surface of 95 percent of our planet's ice-free oceans. Information collected by the 1,115-pound satellite is expected to provide several benefits, including improved weather forecasting, enhanced hurricane prediction, and a better understanding of ocean climate phenomena such as El Nino and La Nina.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</si>
  <si>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bL0ifDm8IZ4</t>
  </si>
  <si>
    <t>https://youtu.be/KhuDBeimgww</t>
  </si>
  <si>
    <t>OSTM Jason-2 Mission Webcast</t>
  </si>
  <si>
    <t>Go behind the scenes as a Delta II rocket prepares to launch the OSTM/Jason-2 spacecraft.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</si>
  <si>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KhuDBeimgww</t>
  </si>
  <si>
    <t>https://youtu.be/BPi155hKktA</t>
  </si>
  <si>
    <t>OSTM Jason-2 Spacecraft Separation</t>
  </si>
  <si>
    <t>BPi155hKktA</t>
  </si>
  <si>
    <t>https://youtu.be/VfrdZiXDHZM</t>
  </si>
  <si>
    <t>Go For Launch!</t>
  </si>
  <si>
    <t>"Go For Launch" takes a look inside a NASA firing room during a rocket launch. NASA Launch Managers Omar Baez and Chuch Dovale are your guides as they describe the excitement and challenges of successfully sending a rocket into space. Together, the two NASA managers explain how they work with their launch team and each other during a launch to ensure problems are resolved and the flight goes as planned.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</si>
  <si>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VfrdZiXDHZM</t>
  </si>
  <si>
    <t>https://youtu.be/uuEwgQtPTwc</t>
  </si>
  <si>
    <t>In Their Own Words  Canadian astronaut Julie Payette</t>
  </si>
  <si>
    <t>In this 'In Their Own Words' video, Canadian astronaut Julie Payette talks about what it means to be an astronaut what motivated her to become a space explorer.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</si>
  <si>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uuEwgQtPTwc</t>
  </si>
  <si>
    <t>https://youtu.be/gKcbbcDi_XQ</t>
  </si>
  <si>
    <t>In Their Own Words  NASA Astronaut Michael Foale</t>
  </si>
  <si>
    <t>A veteran of six space flights talks about being an astronaut and living aboard both the International Space Station and Mir.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</si>
  <si>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gKcbbcDi_XQ</t>
  </si>
  <si>
    <t>https://youtu.be/yW-1RvmWVBA</t>
  </si>
  <si>
    <t>STS-125 Crew Payload  CEIT</t>
  </si>
  <si>
    <t>Crew members of space shuttle Atlantis flew to NASA's Kennedy Space Center on Sept. 5, 2008 to check out the payload carriers, new science instruments and tools they'll be using to repair the Hubble Space Telescope and enhance its ability and functionality. 
This hands-on preflight exercise is called a crew familiarization, or Payload Crew Equipment Interface Test.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</si>
  <si>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yW-1RvmWVBA</t>
  </si>
  <si>
    <t>https://youtu.be/EacZgVKjDyw</t>
  </si>
  <si>
    <t>STS-125  Return to Hubble</t>
  </si>
  <si>
    <t>The STS-125 webcast will be streamed live one day before space shuttle Atlantis launches on the mission to service the Hubble Space Telescope.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</si>
  <si>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EacZgVKjDyw</t>
  </si>
  <si>
    <t>https://youtu.be/RVQeLGEf7Do</t>
  </si>
  <si>
    <t>Dynamic Duo on Launch Pads</t>
  </si>
  <si>
    <t>For the first time since July 2001, and the last time ever, two space shuttles are on the launch pads at the same time at NASA's Kennedy Space Center in Florida.
Atlantis is targeted to lift off on the STS-125 mission to service NASA's Hubble Space Telescope, and Endeavour is ready to act as a rescue vehicle for Atlantis, if needed.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</si>
  <si>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RVQeLGEf7Do</t>
  </si>
  <si>
    <t>https://youtu.be/RP497U1uGIw</t>
  </si>
  <si>
    <t>IBEX Launch</t>
  </si>
  <si>
    <t>The IBEX spacecraft will conduct extremely high-altitude orbits above Earth to investigate and capture images of processes taking place at the farthest reaches of the solar system. Known as the interstellar boundary, this region marks where the solar system meets interstellar space.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</si>
  <si>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RP497U1uGIw</t>
  </si>
  <si>
    <t>https://youtu.be/opBkWnBf1qs</t>
  </si>
  <si>
    <t>STS-126 TCDT</t>
  </si>
  <si>
    <t>The STS-126 astronauts flew into NASAs Kennedy Space Center in Florida on October 26 for their scheduled countdown rehearsal. The seven-member crew spent three days in exercises officially known as the Terminal Countdown Demonstration Test.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</si>
  <si>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opBkWnBf1qs</t>
  </si>
  <si>
    <t>https://youtu.be/yoXGi6DuA6M</t>
  </si>
  <si>
    <t>STS-126 L-1 Webcast</t>
  </si>
  <si>
    <t>Hosted by Damon Talley of NASA's Digital Learning Network, the webcast takes you behind the scenes at Kennedy Space Center in Florida and includes an interview with Flow Director Ken Tenbusch, who oversees the critical work to prepare shuttle Endeavour for flight.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promotion,layout and copy be submitted to NASA prior to release.</t>
  </si>
  <si>
    <t>yoXGi6DuA6M</t>
  </si>
  <si>
    <t>https://youtu.be/gKldtj6UZKE</t>
  </si>
  <si>
    <t>STS-126 Space Shuttle Launch</t>
  </si>
  <si>
    <t>Space shuttle Endeavour roared off Launch Pad 39A at NASA's Kennedy Space Center on a spectacular tower of smoke and flames. The STS-126 mission is an extremely ambitious undertaking, highlighting four spacewalks and delivering the heaviest payload in shuttle history.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promotion,layout and copy be submitted to NASA prior to release.</t>
  </si>
  <si>
    <t>gKldtj6UZKE</t>
  </si>
  <si>
    <t>https://youtu.be/z-eeswIoIQ0</t>
  </si>
  <si>
    <t>STS-126 Landing</t>
  </si>
  <si>
    <t>With commander Chris Ferguson and pilot Eric Boe at the controls, space shuttle Endeavour descended to a smooth landing at Edwards Air Force Base, Calif. The STS-126 crew members concluded their successful mission to the International Space Station when the shuttle touched down at 4:25 p.m. EST.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promotion,layout and copy be submitted to NASA prior to release.</t>
  </si>
  <si>
    <t>z-eeswIoIQ0</t>
  </si>
  <si>
    <t>https://youtu.be/6YALaYYPRMc</t>
  </si>
  <si>
    <t>STS-126 Solid Rocket Booster Camera Views</t>
  </si>
  <si>
    <t>STS-126 Solid Rocket Booster Camera Views.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promotion,layout and copy be submitted to NASA prior to release.</t>
  </si>
  <si>
    <t>6YALaYYPRMc</t>
  </si>
  <si>
    <t>https://youtu.be/EWVutF2hH4I</t>
  </si>
  <si>
    <t>STS-119 Rollout</t>
  </si>
  <si>
    <t>Marking a milestone on the path to the first space shuttle launch of 2009, Discovery make its slow journey to Launch Pad 39A. It will lift off from there to begin the STS-119 mission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promotion,layout and copy be submitted to NASA prior to release.</t>
  </si>
  <si>
    <t>EWVutF2hH4I</t>
  </si>
  <si>
    <t>https://youtu.be/im9a9SOiq5k</t>
  </si>
  <si>
    <t>America's Spaceport</t>
  </si>
  <si>
    <t>America's Spaceport.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</si>
  <si>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im9a9SOiq5k</t>
  </si>
  <si>
    <t>2010 12 13</t>
  </si>
  <si>
    <t>https://youtu.be/Su-0mfqHK3c</t>
  </si>
  <si>
    <t>STS-119 TCDT</t>
  </si>
  <si>
    <t>The STS-119 astronauts were at NASA's Kennedy Space Center for the Terminal Countdown Demonstration Test, or TCDT, for preflight and other training for Discovery's next mission to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</si>
  <si>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Su-0mfqHK3c</t>
  </si>
  <si>
    <t>https://youtu.be/nxhlfBLS8rg</t>
  </si>
  <si>
    <t>NOAA-N Prime Journey to Launch</t>
  </si>
  <si>
    <t>Delta II stands ready to launch the NOAA-N Prime spacecraft from Vandenberg Air Force Base in California. This new polar-orbiting satellite will help with weather forecasting worldwide.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</si>
  <si>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nxhlfBLS8rg</t>
  </si>
  <si>
    <t>https://youtu.be/gzNjHW6H09A</t>
  </si>
  <si>
    <t>Kepler Mission Webcast</t>
  </si>
  <si>
    <t>This webcast takes you behind the scenes to learn more about Kepler's exciting mission to discover other Earth-like planets in our galaxy.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</si>
  <si>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gzNjHW6H09A</t>
  </si>
  <si>
    <t>2010 12 10</t>
  </si>
  <si>
    <t>https://youtu.be/8HaEioEwyzk</t>
  </si>
  <si>
    <t>In Their Own Words  NASA Astronaut Dorothy Metcalf-Lindenburger</t>
  </si>
  <si>
    <t>Astronaut Dorothy Metcalf-Lindenburger talks about space shuttle Discovery and her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</si>
  <si>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8HaEioEwyzk</t>
  </si>
  <si>
    <t>2010 12 08</t>
  </si>
  <si>
    <t>https://youtu.be/2Vf5zn5Vgno</t>
  </si>
  <si>
    <t>Space-X Launch's Falcon 9 on Demonstration Flight</t>
  </si>
  <si>
    <t>SpaceX's Falcon 9 rocket and Dragon spacecraft launched from Launch Complex 40 at Cape Canaveral Air Force Station at 10:43 a.m. EST on Wednesday, Dec. 8. This is first demonstration flight for NASA's Commercial Orbital Transportation Services (COTS) program, which will provide cargo flights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</si>
  <si>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2Vf5zn5Vgno</t>
  </si>
  <si>
    <t>2010 12 03</t>
  </si>
  <si>
    <t>https://youtu.be/UCVjEKk1TWg</t>
  </si>
  <si>
    <t>Space Shuttle Era  TCDT</t>
  </si>
  <si>
    <t>A full launch dress rehearsal takes place at NASA's Kennedy Space Center in Florida prior to every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</si>
  <si>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UCVjEKk1TWg</t>
  </si>
  <si>
    <t>2010 11 24</t>
  </si>
  <si>
    <t>https://youtu.be/OCBORBjbc-A</t>
  </si>
  <si>
    <t>Expedition 25 Thanksgiving Message</t>
  </si>
  <si>
    <t>Happy Thanksgiving from the Expedition 25 crew aboard the International Space Station.</t>
  </si>
  <si>
    <t>OCBORBjbc-A</t>
  </si>
  <si>
    <t>2010 11 15</t>
  </si>
  <si>
    <t>https://youtu.be/1XeKS0MeLsA</t>
  </si>
  <si>
    <t>Space Shuttle Era  Landing Sites</t>
  </si>
  <si>
    <t>NASA has a roster of runways around the globe that could host a shuttle landing.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</si>
  <si>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1XeKS0MeLsA</t>
  </si>
  <si>
    <t>https://youtu.be/0OWdiBNdvpI</t>
  </si>
  <si>
    <t>Kepler Lifts Off on Planet Finding Mission</t>
  </si>
  <si>
    <t>Kepler is the world's first mission with the ability to find true Earth-like planets orbiting stars
in the "habitable zone."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</si>
  <si>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0OWdiBNdvpI</t>
  </si>
  <si>
    <t>2010 11 12</t>
  </si>
  <si>
    <t>https://youtu.be/2E5Q-ZucHRc</t>
  </si>
  <si>
    <t>STS-119 Mission Webcast</t>
  </si>
  <si>
    <t>Host Damon Talley of NASA's Digital Learning Network takes you behind the scenes at Kennedy Space Center in Florida for a first-hand look at the Space Station Processing Facility where space station elements are prepared before launch. Learn about this mission's payload, the space station's Starboard 6 truss segment, from Payload Mission Manager Robby Ashley. You'll also meet the STS-119 astronauts and learn about the work that they'll perform during the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</si>
  <si>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2E5Q-ZucHRc</t>
  </si>
  <si>
    <t>2010 11 10</t>
  </si>
  <si>
    <t>https://youtu.be/axDQ3k7vHVc</t>
  </si>
  <si>
    <t>STS-119 SRB Camera Views</t>
  </si>
  <si>
    <t>Views of liftoff and Solid Rocket Booster separation from on board cameras.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</si>
  <si>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axDQ3k7vHVc</t>
  </si>
  <si>
    <t>https://youtu.be/DrMPThP7P5E</t>
  </si>
  <si>
    <t>STS-119 Space Shuttle Discovery Landing</t>
  </si>
  <si>
    <t>STS-119 Discovery returned to Kennedy Space Center today after delivering the final set of solar arrays to the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</si>
  <si>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DrMPThP7P5E</t>
  </si>
  <si>
    <t>https://youtu.be/_LTBBiHZ4jQ</t>
  </si>
  <si>
    <t>STS-119 Mission Overview</t>
  </si>
  <si>
    <t>Space Shuttle Discovery's STS-119 Mission Overview.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</si>
  <si>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_LTBBiHZ4jQ</t>
  </si>
  <si>
    <t>https://youtu.be/X01mL7dbSjw</t>
  </si>
  <si>
    <t>Atlantis Rolls to the Pad</t>
  </si>
  <si>
    <t>The STS-125 Hubble Servicing Mission is a step closer to liftoff with Atlantis on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</si>
  <si>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X01mL7dbSjw</t>
  </si>
  <si>
    <t>https://youtu.be/m2q375mth1w</t>
  </si>
  <si>
    <t>STS-125 Mission Webcast</t>
  </si>
  <si>
    <t>The STS-125 L-1 webcast shows you what it takes to fly a difficult servicing mission to Hubble. Seven astronauts will work in space aboard space shuttle Atlantis for 11 days to capture the orbiting observatory and install two cutting-edge instruments plus a host of equipment. After the crew of Atlantis is finished, Hubble will be ready to complete at least five more years studying the cosmos.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</si>
  <si>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m2q375mth1w</t>
  </si>
  <si>
    <t>2010 11 09</t>
  </si>
  <si>
    <t>https://youtu.be/PMFQFhUSCj0</t>
  </si>
  <si>
    <t>Endeavour Moves to Pad 39B</t>
  </si>
  <si>
    <t>STS-127 Endeavour Moves to Pad 39B.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</si>
  <si>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PMFQFhUSCj0</t>
  </si>
  <si>
    <t>https://youtu.be/4OTMVMzrfms</t>
  </si>
  <si>
    <t>STS-125 Space Shuttle Atlantis Launch</t>
  </si>
  <si>
    <t>After a smooth countdown and picture-perfect liftoff, space shuttle Atlantis and a crew of seven astronauts are in space, ready to begin their 11-day mission to service NASA's Hubble Space Telescope. Atlantis lifted off Launch Pad 39A at NASA's Kennedy Space Center in Florida at 2:01 p.m. EDT.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</si>
  <si>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4OTMVMzrfms</t>
  </si>
  <si>
    <t>https://youtu.be/37ETKRYgXrU</t>
  </si>
  <si>
    <t>STS-125 Space Shuttle Landing</t>
  </si>
  <si>
    <t>Atlantis and the crew of the STS-125 mission landed safely in California at Edwards Air Force Base after completing the Hubble Servicing Mission on Sunday, May 24, 2009. The almost 5.3-million-mile mission included five spacewalks to repair and upgrade the world-famous observatory.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</si>
  <si>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37ETKRYgXrU</t>
  </si>
  <si>
    <t>2010 11 05</t>
  </si>
  <si>
    <t>https://youtu.be/3HLtTRsPzSA</t>
  </si>
  <si>
    <t>Space Shuttle Era  Ground Umbilical Carrier Plate</t>
  </si>
  <si>
    <t>Space Shuttle Era: The Ground Umbilical Carrier Plate
The Ground Umbilical Carrier Plate provides one of the critical connections between the shuttle and the launch pad. The GUCP, pronounced "Gup," helps funnel gaseous hydrogen from the external tank into a system of pipes that safely burns off the excess fuel. Launch controllers track the readings from sensors on the GUCP for signs of a hydrogen leak. When readings are outside the limits, the countdown is halted so technicians can make repairs.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</si>
  <si>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3HLtTRsPzSA</t>
  </si>
  <si>
    <t>https://youtu.be/uM-BqF2TIZo</t>
  </si>
  <si>
    <t>STS-133 Launch Scrub</t>
  </si>
  <si>
    <t>Discovery's space shuttle managers have scrubbed Friday's launch attempt due to a hydrogen leak at the Ground Umbilical Carrier Plate, or GUCP.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</si>
  <si>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uM-BqF2TIZo</t>
  </si>
  <si>
    <t>2010 10 29</t>
  </si>
  <si>
    <t>https://youtu.be/XjTl8BPk7NQ</t>
  </si>
  <si>
    <t>Space Shuttle Era  STS-133 Webcast</t>
  </si>
  <si>
    <t>Space shuttle Discovery is closing out is distinguished career on STS-133. The spacecraft made history several times over during a 26-year career that included delivering NASA's Hubble Space Telescope orbit, hosting incredible satellite repair missions and helping build the International Space Station. Discovery also made two return-to-flight missions that cemented its place in space exploration lore. Some of the people who worked with and flew aboard space shuttle Discovery discuss the shuttle's influence on NASA and the world in terms of science, exploration and accomplishment. Astronauts Steve Lindsey, Bob Cabana and Janice Voss join launch directors Bob Sieck, Mike Leinbach and Discovery Flow Director Stephanie Stilson to discuss the shuttle's achievements.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</si>
  <si>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XjTl8BPk7NQ</t>
  </si>
  <si>
    <t>2010 10 18</t>
  </si>
  <si>
    <t>https://youtu.be/txtgdh8K1Zo</t>
  </si>
  <si>
    <t>STS-133 Astronauts Rehearse Launch Day During TCDT</t>
  </si>
  <si>
    <t>The six astronauts who will fly space shuttle Discovery to the International Space Station on STS-133 spent four days at NASA's Kennedy Space Center to participate in a launch countdown dress rehearsal known as Terminal Countdown Demonstration Test, or TCDT.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</si>
  <si>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txtgdh8K1Zo</t>
  </si>
  <si>
    <t>2010 10 15</t>
  </si>
  <si>
    <t>https://youtu.be/uYEtDUEtBZc</t>
  </si>
  <si>
    <t>The Crew of STS-133 Sign the Space Shuttle Program Memorial Wall</t>
  </si>
  <si>
    <t>The crew of STS-133 signed the Shuttle Program Tribute Wall inside Kennedy Space Center's Vehicle Assembly Building. The wall is covered in the signatures of many at Kennedy who have played a part in the space shuttle's 30-year history.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</si>
  <si>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uYEtDUEtBZc</t>
  </si>
  <si>
    <t>2010 10 01</t>
  </si>
  <si>
    <t>https://youtu.be/xRoi14aYJOM</t>
  </si>
  <si>
    <t>Space Shuttle Era  Covering the Space Shuttle Program</t>
  </si>
  <si>
    <t>Space reporters discuss the impact the Space Shuttle Program has had on exploration, national interests and why it's an exciting beat in the first place.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</si>
  <si>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xRoi14aYJOM</t>
  </si>
  <si>
    <t>https://youtu.be/Ze2fJhIhih0</t>
  </si>
  <si>
    <t>Timelapse Footage of Lifting the External Tank</t>
  </si>
  <si>
    <t>Timelapse Footage of Lifting the External Tank.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</si>
  <si>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Ze2fJhIhih0</t>
  </si>
  <si>
    <t>2010 09 21</t>
  </si>
  <si>
    <t>https://youtu.be/c5taj-wYhJI</t>
  </si>
  <si>
    <t>Rollout of Discovery for STS-133, Its Final Mission</t>
  </si>
  <si>
    <t>Discovery's last ride like a broadway star ready for the final performance. Space Shuttle Discovery took center stage as it emerged through the Vehicle Assembly Building's towering door. The shuttle began its 3.4-mile journey to Launch Pad 39A at NASA's Kennedy Space Center just after sunset, departing the mammoth building shortly before 7:30 p.m. Eastern Daylight time on September 20. As it moved down the crawlerway, Discovery was illuminated by bright xenon lights during the first part of its trek. The spacecraft -- NASA's longest-serving shuttle in the fleet -- will make its final flight on the STS-133 mission to the International Space Station. Gathering to witness one of the final space shuttle rollouts and share the moment of space history were several astronauts, as well as Kennedy employees along with their families and friends. Stacked with its solid rocket boosters and external fuel tank on the mobile launcher platform, the shuttle's slow roll atop a crawler-transporter took about six and a half hours, reaching the seaside launch pad just before 2 a.m. On this final flight, Discovery will carry the Permanent Multipurpose Module, Robonaut 2, and various supplies and equipment bound for the station. A crew of six astronauts will conduct the 11-day mission, which is targeted for launch in early November.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</si>
  <si>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c5taj-wYhJI</t>
  </si>
  <si>
    <t>2010 09 17</t>
  </si>
  <si>
    <t>https://youtu.be/j5nJKp5Ar38</t>
  </si>
  <si>
    <t>Alpha Magnetic Spectrometer at Kennedy Space Center</t>
  </si>
  <si>
    <t>An advanced scientific payload set to fly aboard space shuttle Endeavour in 2011 is beginning final preparations for its upcoming flight to the International Space Station. The pioneering Alpha Magnetic Spectrometer-2 experiment arrived at NASA's Kennedy Space Center on Aug. 26 aboard a U.S. Air Force C-5M cargo aircraft. Known as AMS, the high-tech device could lead to new discoveries about the universe and its origin. AMS will use a powerful magnet and cutting-edge particle physics detector to measure the charged particles within cosmic rays. The nearly 15,000-pound experiment will be robotically installed on the station's main truss during shuttle Endeavour's final scheduled mission. Once it reaches its final destination in orbit, the experiment is expected to operate for at least a decade, until the end of the station's life.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</si>
  <si>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j5nJKp5Ar38</t>
  </si>
  <si>
    <t>2010 09 03</t>
  </si>
  <si>
    <t>https://youtu.be/EqcFaR8aNCk</t>
  </si>
  <si>
    <t>Space Shuttle Era  Rollout</t>
  </si>
  <si>
    <t>A space shuttle liftoff is an awe-inspiring sight -- but the journey doesn't begin on the launch pad. Every mission begins with a carefully choreographed road trip known as "rollout," in which the fully assembled space shuttle and its mobile launcher platform are transported from the Vehicle Assembly Building to the seaside launch pad -- a journey of more than three miles.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</si>
  <si>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EqcFaR8aNCk</t>
  </si>
  <si>
    <t>2010 09 01</t>
  </si>
  <si>
    <t>https://youtu.be/tBbBBN9Ageo</t>
  </si>
  <si>
    <t>STS-133 Mission  Module to get a Home in Space</t>
  </si>
  <si>
    <t>A module built to resupply the International Space Station has been refitted as an addition to the orbiting laboratory.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</si>
  <si>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tBbBBN9Ageo</t>
  </si>
  <si>
    <t>2010 08 27</t>
  </si>
  <si>
    <t>https://youtu.be/JM1NpvhgeK8</t>
  </si>
  <si>
    <t>STS-133 Mission  Robonaut 2 Getting Ready for Flight</t>
  </si>
  <si>
    <t>Robonaut 2 is being prepared for its history making launch to the International Space Station on STS-133. The robot, known as R2, will be the first humanoid machine to work in orbit. With an upper torso, long arms and a suite of cameras and sensors, Robonaut 2 is programmed to help astronauts living on the space station by performing repetitive tasks. It's hands and fingers are able to operate buttons and switches found inside the space station. R2 is a great leap forward for robotic technology that is not lost on the creators and actors that gave movie audiences the fictional worlds of "Star Wars" that saw droids and humans working-side-by-side.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</si>
  <si>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JM1NpvhgeK8</t>
  </si>
  <si>
    <t>2010 08 24</t>
  </si>
  <si>
    <t>https://youtu.be/LF30RR2RdvA</t>
  </si>
  <si>
    <t>STS-133 Send-Off From Star Wars Celebration V by Adrianne Curry</t>
  </si>
  <si>
    <t>LF30RR2RdvA</t>
  </si>
  <si>
    <t>https://youtu.be/fPJ1WL5ZThc</t>
  </si>
  <si>
    <t>NASA Goes to Star Wars Celebration V</t>
  </si>
  <si>
    <t>NASA talks with "Star wars" creators, stars and fans about the inspiration of the film and the appeal of space exploration.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</si>
  <si>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fPJ1WL5ZThc</t>
  </si>
  <si>
    <t>2010 08 18</t>
  </si>
  <si>
    <t>https://youtu.be/tTteI1GUyL0</t>
  </si>
  <si>
    <t>Space Shuttle Era  Crew Equipment Interface Test</t>
  </si>
  <si>
    <t>CEIT Prepares Crew, Hardware and Payload for Space. A mainstay of astronaut training, the Crew Equipment Interface Test was developed to prepare astronauts for their missions in space while still here on Earth.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</si>
  <si>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tTteI1GUyL0</t>
  </si>
  <si>
    <t>2010 07 29</t>
  </si>
  <si>
    <t>https://youtu.be/0S-IVNqjbug</t>
  </si>
  <si>
    <t>Space Shuttle Era  In Their Own Words  Conrad Nagel, First Flow Director of Space Shuttle Atlantis</t>
  </si>
  <si>
    <t>As Atlantis' first flow director, Conrad Nagel prepared the spacecraft for its first flight in 1985.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</si>
  <si>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0S-IVNqjbug</t>
  </si>
  <si>
    <t>2010 07 21</t>
  </si>
  <si>
    <t>https://youtu.be/aNtWCDDMTCo</t>
  </si>
  <si>
    <t>NASA Helps Sea Turtles Recover from the Oil Spill</t>
  </si>
  <si>
    <t>Endangered sea turtle nests were moved from the gulf beaches so their hatchlings could be released into the Atlantic.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</si>
  <si>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aNtWCDDMTCo</t>
  </si>
  <si>
    <t>2010 07 09</t>
  </si>
  <si>
    <t>https://youtu.be/qM11-Qm5QOQ</t>
  </si>
  <si>
    <t>Runway to Racetrack - NASA Hosts NASCAR Team</t>
  </si>
  <si>
    <t>NASCAR's Joe Gibbs Racing team used the Shuttle Landing Facility at NASA's Kennedy Space Center as a testing ground to try out designs for its race cars.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</si>
  <si>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qM11-Qm5QOQ</t>
  </si>
  <si>
    <t>2010 07 07</t>
  </si>
  <si>
    <t>https://youtu.be/V5-qnbInLhI</t>
  </si>
  <si>
    <t>Space Shuttle Era  NASA's Shuttle Landing Facility</t>
  </si>
  <si>
    <t>The Shuttle Landing Facility at NASA's Kennedy Space Center in Florida has marked the finish line for space shuttle missions since 1984. The facility is staffed by air traffic controllers who work at a unique air and spaceport.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</si>
  <si>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V5-qnbInLhI</t>
  </si>
  <si>
    <t>2010 07 01</t>
  </si>
  <si>
    <t>https://youtu.be/zhvuXG8OVg8</t>
  </si>
  <si>
    <t>Demolition of the Mercury Gemini Mission Control Center</t>
  </si>
  <si>
    <t>The former Mercury Mission Control Center building -- long ravaged by time and the elements -- was demolished. As pieces of the old building were eaten away, more than fifty years of space history came to completion. Yet despite the demise of the building, the Flight Control Area -- the heart of the mission control operation -- has been faithfully preserved for future generations. The Kennedy Space Center Visitor Complex has recreated the control center in its Early Space Exploration display. In this display, the public can view the actual consoles, furnishings and world tracking map used during those early flights. The preservation stands as a tribute to those who pioneered NASA's manned space program -- leading to the moon missions just a few years later -- and paving the way for the human spaceflight program that continues today.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</si>
  <si>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zhvuXG8OVg8</t>
  </si>
  <si>
    <t>2010 06 24</t>
  </si>
  <si>
    <t>https://youtu.be/qyeq0_9D8Wg</t>
  </si>
  <si>
    <t>In Their Own Words  Astronaut Rick Mastracchio</t>
  </si>
  <si>
    <t>NASA Astronaut Rick Mastracchio describes his experiences in space and his nine-year wait to become an astronaut.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</si>
  <si>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qyeq0_9D8Wg</t>
  </si>
  <si>
    <t>2010 06 23</t>
  </si>
  <si>
    <t>https://youtu.be/lWlIkqwOasE</t>
  </si>
  <si>
    <t>In Their Own Words  Astronaut James P. Dutton</t>
  </si>
  <si>
    <t>NASA Astronaut James P. Dutton, Jr. discusses his journey to becoming an astronaut and flying on the STS-131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</si>
  <si>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lWlIkqwOasE</t>
  </si>
  <si>
    <t>2010 06 03</t>
  </si>
  <si>
    <t>https://youtu.be/rwKI_DElY3c</t>
  </si>
  <si>
    <t>STS-132 Mission Overview</t>
  </si>
  <si>
    <t>STS-132 Mission Overview: Space shuttle Atlantis and crew complete a successful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</si>
  <si>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rwKI_DElY3c</t>
  </si>
  <si>
    <t>2010 05 26</t>
  </si>
  <si>
    <t>https://youtu.be/FlGRaYZPBC8</t>
  </si>
  <si>
    <t>STS-132 Landing Coverage  Go for Deorbit Burn</t>
  </si>
  <si>
    <t>Space shuttle Atlantis is given the "go" for landing at Kennedy following the successful STS-132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</si>
  <si>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FlGRaYZPBC8</t>
  </si>
  <si>
    <t>https://youtu.be/1DiOocDlesE</t>
  </si>
  <si>
    <t>STS-132 landing  Crew Comments on Successful Mission</t>
  </si>
  <si>
    <t>The crew of space shuttle Atlantis take a walk around the shuttle and comment on their successful STS-132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</si>
  <si>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1DiOocDlesE</t>
  </si>
  <si>
    <t>https://youtu.be/hgByFMXYzIg</t>
  </si>
  <si>
    <t>STS-132  Atlantis Comes Home</t>
  </si>
  <si>
    <t>Space shuttle Atlantis lands at Kennedy following the successful STS-132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</si>
  <si>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hgByFMXYzIg</t>
  </si>
  <si>
    <t>2010 05 14</t>
  </si>
  <si>
    <t>https://youtu.be/9khLHv5afIk</t>
  </si>
  <si>
    <t>STS-132 Atlantis Launch Replays TV-7A</t>
  </si>
  <si>
    <t>Single camera view from STS-132 launch of space shuttle Atlantis.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</si>
  <si>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9khLHv5afIk</t>
  </si>
  <si>
    <t>https://youtu.be/tCgwgv18Pvo</t>
  </si>
  <si>
    <t>STS-132 Atlantis Launch Replays TV-4A</t>
  </si>
  <si>
    <t>tCgwgv18Pvo</t>
  </si>
  <si>
    <t>https://youtu.be/a7LtxeTtSaM</t>
  </si>
  <si>
    <t>STS-132 Atlantis Launch Replays VAB Roof TV-5</t>
  </si>
  <si>
    <t>a7LtxeTtSaM</t>
  </si>
  <si>
    <t>https://youtu.be/-ANFaNFP0nw</t>
  </si>
  <si>
    <t>Tribute to space shuttle Atlantis  STS-132</t>
  </si>
  <si>
    <t>A few of those who have witnessed Atlantis' long career over the years express their thoughts and memories of the shuttle.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</si>
  <si>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-ANFaNFP0nw</t>
  </si>
  <si>
    <t>https://youtu.be/HuZ8CWuS8iY</t>
  </si>
  <si>
    <t>STS-132 External Tank Jettison</t>
  </si>
  <si>
    <t>With the separation of the external fuel tank, the shuttle and crew reach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</si>
  <si>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HuZ8CWuS8iY</t>
  </si>
  <si>
    <t>https://youtu.be/MDc7E25pYBw</t>
  </si>
  <si>
    <t>STS-132 Launch Director Send Off to Crew</t>
  </si>
  <si>
    <t>Launch director Mike Leinbach gives crew "go" for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</si>
  <si>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MDc7E25pYBw</t>
  </si>
  <si>
    <t>https://youtu.be/DSNyl7zCKgQ</t>
  </si>
  <si>
    <t>STS-132  Crew Climbs Aboard Atlantis</t>
  </si>
  <si>
    <t>The astronauts take their seats as the shuttle is ready to fly.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</si>
  <si>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DSNyl7zCKgQ</t>
  </si>
  <si>
    <t>https://youtu.be/R5HMefvGXG0</t>
  </si>
  <si>
    <t>STS-132 launch  Liftoff Atlantis!</t>
  </si>
  <si>
    <t>Space shuttle Atlantis begins the STS-132 mission as it carries the six-member crew toward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</si>
  <si>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R5HMefvGXG0</t>
  </si>
  <si>
    <t>https://youtu.be/3pyaNyH64V4</t>
  </si>
  <si>
    <t>STS-132 Suitup and Walkout</t>
  </si>
  <si>
    <t>STS-132: The Atlantis crew members suit up and head to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</si>
  <si>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3pyaNyH64V4</t>
  </si>
  <si>
    <t>https://youtu.be/Rh-t30jPenk</t>
  </si>
  <si>
    <t>STS-132 Launch Countdown Coverage Begins</t>
  </si>
  <si>
    <t>Space shuttle Atlantis is poised on the launch pad and ready for liftoff on mission STS-132.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</si>
  <si>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Rh-t30jPenk</t>
  </si>
  <si>
    <t>2010 05 12</t>
  </si>
  <si>
    <t>https://youtu.be/Qkk6ufuagSA</t>
  </si>
  <si>
    <t>The Legacy of Space Shuttle Atlantis</t>
  </si>
  <si>
    <t>Looking back at shuttle Atlantis' storied past.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</si>
  <si>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Qkk6ufuagSA</t>
  </si>
  <si>
    <t>2010 04 27</t>
  </si>
  <si>
    <t>https://youtu.be/WMRSGhqk594</t>
  </si>
  <si>
    <t>STS-131 Mission Overview  Fortifying the Space Station</t>
  </si>
  <si>
    <t>Teamwork proved the key to unlock a complex but successful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</si>
  <si>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WMRSGhqk594</t>
  </si>
  <si>
    <t>https://youtu.be/o15VJUBriI4</t>
  </si>
  <si>
    <t>STS-132 Crew's Dress Rehearsal For Launch or TCDT</t>
  </si>
  <si>
    <t>The Atlantis crew travels to NASA's Kennedy Space Center in Florida for a dress rehearsal for the May launch of the STS-132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</si>
  <si>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o15VJUBriI4</t>
  </si>
  <si>
    <t>2010 04 23</t>
  </si>
  <si>
    <t>https://youtu.be/BpL2GbtmDT4</t>
  </si>
  <si>
    <t>STS-132 Rollout</t>
  </si>
  <si>
    <t>Space shuttle Atlantis Rolls to the Launch Pad 39A in preparation of it's STS-132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</si>
  <si>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BpL2GbtmDT4</t>
  </si>
  <si>
    <t>https://youtu.be/zKkRuLNypX0</t>
  </si>
  <si>
    <t>Hubble Celebrates 20 Years</t>
  </si>
  <si>
    <t>In the two decades since space shuttle Discovery roared into orbit with NASA's Hubble Space Telescope, astronauts extended its abilities far beyond what was thought possible for longer than many thought realistic.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</si>
  <si>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zKkRuLNypX0</t>
  </si>
  <si>
    <t>2010 04 20</t>
  </si>
  <si>
    <t>https://youtu.be/vuzCiuOIzMc</t>
  </si>
  <si>
    <t>STS-131 Landing  Mission Conclusion with Crew Comments</t>
  </si>
  <si>
    <t>After physicals aboard the crew transport vehicle, space shuttle Discovery's seven astronauts took a walk around the spacecraft that carried them more than 6 million miles. They each paused to express their thoughts about the mission and their gratitude to those on the ground who helped make the mission safe and successful.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</si>
  <si>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vuzCiuOIzMc</t>
  </si>
  <si>
    <t>https://youtu.be/Bsm8iImlStU</t>
  </si>
  <si>
    <t>STS-131 Landing</t>
  </si>
  <si>
    <t>Space shuttle Discovery has landed at Kennedy Space Center after 238 orbits around Earth and a journey of 6,232,235 miles.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</si>
  <si>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Bsm8iImlStU</t>
  </si>
  <si>
    <t>https://youtu.be/-nMEfpGLIOo</t>
  </si>
  <si>
    <t>STS-131 Go For Deorbit Burn</t>
  </si>
  <si>
    <t>The STS-131 crew of space shuttle Discovery is given the "go" for deorbit burn by Mission Control in Houston.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</si>
  <si>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-nMEfpGLIOo</t>
  </si>
  <si>
    <t>2010 04 19</t>
  </si>
  <si>
    <t>https://youtu.be/EmNJDpEr7K8</t>
  </si>
  <si>
    <t>STS-131 Landing Waveoff</t>
  </si>
  <si>
    <t>Mission control in Houston delayed Discovery's landing for 24 hours due to inclement weather at Kennedy.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</si>
  <si>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EmNJDpEr7K8</t>
  </si>
  <si>
    <t>2010 04 15</t>
  </si>
  <si>
    <t>https://youtu.be/B0QYvV3B1n0</t>
  </si>
  <si>
    <t>President Barack Obama Departs from the Kennedy Space Center</t>
  </si>
  <si>
    <t>President Barack Obama Leaves Kennedy Space Center after speaking at the opening of the Conference on the American Space Program for the 21st Century.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</si>
  <si>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B0QYvV3B1n0</t>
  </si>
  <si>
    <t>https://youtu.be/JIvgVDQXjz4</t>
  </si>
  <si>
    <t>Air Force One Touches Down</t>
  </si>
  <si>
    <t>President Obama arrives at NASA's Kennedy Space Center in Florida.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</si>
  <si>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JIvgVDQXjz4</t>
  </si>
  <si>
    <t>2010 04 07</t>
  </si>
  <si>
    <t>https://youtu.be/_chImqQ2Vwg</t>
  </si>
  <si>
    <t>STS-131 Launch Replay Camera Site 2 TV-7A</t>
  </si>
  <si>
    <t>Alternate camera view of Discovery's STS-131 liftoff from Launch Pad 39A at NASA's Kennedy Space Center in Florida captured from the launch pad camera site-2 (TV-7A).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</si>
  <si>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_chImqQ2Vwg</t>
  </si>
  <si>
    <t>https://youtu.be/_vkjvcdrVU4</t>
  </si>
  <si>
    <t>STS-131 Launch Replay OTV Camera 71</t>
  </si>
  <si>
    <t>Alternate camera view of Discovery's STS-131 liftoff from Launch Pad 39A at NASA's Kennedy Space Center in Florida captured from the OTV camera 71 at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</si>
  <si>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_vkjvcdrVU4</t>
  </si>
  <si>
    <t>https://youtu.be/7hdHDpv_1Fg</t>
  </si>
  <si>
    <t>STS-131 Launch Replay UCS-15 TV-21A</t>
  </si>
  <si>
    <t>Alternate camera view of Discovery's STS-131 liftoff from Launch Pad 39A at NASA's Kennedy Space Center in Florida captured from camera UCS-15 (TV-21A).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</si>
  <si>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7hdHDpv_1Fg</t>
  </si>
  <si>
    <t>https://youtu.be/A8leW4SPuv0</t>
  </si>
  <si>
    <t>STS-131 Launch Replay VAB-TV5</t>
  </si>
  <si>
    <t>Alternate camera view of Discovery's STS-131 liftoff from Launch Pad 39A at NASA's Kennedy Space Center in Florida captured from the Vehicle Assembly Building (TV-5).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</si>
  <si>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A8leW4SPuv0</t>
  </si>
  <si>
    <t>2010 04 05</t>
  </si>
  <si>
    <t>https://youtu.be/v6KHwAritXM</t>
  </si>
  <si>
    <t>STS-131 External Tank Jettison</t>
  </si>
  <si>
    <t>v6KHwAritXM</t>
  </si>
  <si>
    <t>https://youtu.be/jETIPwFj29E</t>
  </si>
  <si>
    <t>STS-131 Launch Director Farewell</t>
  </si>
  <si>
    <t>jETIPwFj29E</t>
  </si>
  <si>
    <t>https://youtu.be/HRhgbHUXKC0</t>
  </si>
  <si>
    <t>STS-131 Launch</t>
  </si>
  <si>
    <t>HRhgbHUXKC0</t>
  </si>
  <si>
    <t>https://youtu.be/vFgsY1GRVkc</t>
  </si>
  <si>
    <t>STS-131 Crew Ingress</t>
  </si>
  <si>
    <t>vFgsY1GRVkc</t>
  </si>
  <si>
    <t>https://youtu.be/lif7Ua5tnW0</t>
  </si>
  <si>
    <t>STS-131 Suitup and Walkout</t>
  </si>
  <si>
    <t>lif7Ua5tnW0</t>
  </si>
  <si>
    <t>https://youtu.be/pxV3TDef_TA</t>
  </si>
  <si>
    <t>STS-131 Launch Coverage Introduction to Commentary</t>
  </si>
  <si>
    <t>pxV3TDef_TA</t>
  </si>
  <si>
    <t>2010 03 26</t>
  </si>
  <si>
    <t>https://youtu.be/YGaydIFGwRE</t>
  </si>
  <si>
    <t>KSC Technology Advancing the Study of Volcanoes</t>
  </si>
  <si>
    <t>YGaydIFGwRE</t>
  </si>
  <si>
    <t>2010 03 23</t>
  </si>
  <si>
    <t>https://youtu.be/5vfyZtVPvfs</t>
  </si>
  <si>
    <t>Shuttle Workforce Message from Bob Crippen</t>
  </si>
  <si>
    <t>Former astronaut and Kennedy Space Center Director Bob "Crip" Crippen videotaped a message for the work force regarding a safe and strong finish to the Space Shuttle Program.  Crippen shares his unique perspective, beginning with his role as pilot of the first space shuttle mission in 1981. He stresses the importance of team communication and time-outs, and the roles of front-line workers, supervisors and managers in preventing mishaps that adversely affect the safety of ground and flight crews.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</si>
  <si>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5vfyZtVPvfs</t>
  </si>
  <si>
    <t>2010 03 11</t>
  </si>
  <si>
    <t>https://youtu.be/1bFj2tWds38</t>
  </si>
  <si>
    <t>In Their Own Words with NASA Astronaut Mike Gernhardt</t>
  </si>
  <si>
    <t>Join NASA Astronaut Michael Gernhardt as he recalls in this "In Their Own Words" video his spacewalking experiences and what inspired him to "greater heights."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</si>
  <si>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1bFj2tWds38</t>
  </si>
  <si>
    <t>2010 03 09</t>
  </si>
  <si>
    <t>https://youtu.be/LINQi807FYY</t>
  </si>
  <si>
    <t>STS-131 TCDT</t>
  </si>
  <si>
    <t>The Discovery crew members were at Kennedy Space Center to participate in the Terminal Countdown Demonstration Test, or TCDT; a launch dress rehearsal for the STS-131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</si>
  <si>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LINQi807FYY</t>
  </si>
  <si>
    <t>2010 03 05</t>
  </si>
  <si>
    <t>https://youtu.be/ov7SIYihRmE</t>
  </si>
  <si>
    <t>GOES-P Launch</t>
  </si>
  <si>
    <t>The Delta IV carrying GOES-P lifted off at 6:57 p.m. EST from Launch Complex 37 at Cape Canaveral Air Force Station in Florida.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</si>
  <si>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ov7SIYihRmE</t>
  </si>
  <si>
    <t>2010 03 04</t>
  </si>
  <si>
    <t>https://youtu.be/kEGYewXifT4</t>
  </si>
  <si>
    <t>STS-131 Rollout</t>
  </si>
  <si>
    <t>Space shuttle Discovery was moved to Kennedy's Launch Pad 39A for the upcoming STS-131 mission to the International Space Station. First motion began just before midnight March 2. The shuttle was "hard down" at the pad by about 7 a.m. EST.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</si>
  <si>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kEGYewXifT4</t>
  </si>
  <si>
    <t>2010 02 25</t>
  </si>
  <si>
    <t>https://youtu.be/BJGaXzNIrdE</t>
  </si>
  <si>
    <t>STS-130 Mission Recap Video</t>
  </si>
  <si>
    <t>Thanks to space shuttle Endeavour and the STS-130 astronaut crew, residents of the International Space Station now have a view of home like never before. After launch Feb. 8, 2010, Endeavour delivered the Italian-built Tranquility node -- and a large bay window, the cupola -- adding 2,600 cubic feet and a magnificent panorama of the Earth below.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</si>
  <si>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BJGaXzNIrdE</t>
  </si>
  <si>
    <t>2010 02 22</t>
  </si>
  <si>
    <t>https://youtu.be/easkkbaMjd8</t>
  </si>
  <si>
    <t>STS-130 Landing  Mission Conclusion with Crew Comments</t>
  </si>
  <si>
    <t>The STS-130 astronauts celebrate landing with the traditional vehicle "walkaround" after a successful late-night landing at NASA's Kennedy Space Center in Florida on Feb. 21, 2010.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</si>
  <si>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easkkbaMjd8</t>
  </si>
  <si>
    <t>https://youtu.be/N61xawXhdhA</t>
  </si>
  <si>
    <t>STS-130 Landing</t>
  </si>
  <si>
    <t>Space shuttle Endeavour wraps up the 13-day, 5.7-million-mile STS-130 mission with a flawless nighttime landing at Kennedy Space Center.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</si>
  <si>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N61xawXhdhA</t>
  </si>
  <si>
    <t>https://youtu.be/MzUsI4Uf3lc</t>
  </si>
  <si>
    <t>STS-130 Landing  Go for deorbit burn</t>
  </si>
  <si>
    <t>Capcom Rick Sturckow tells the STS-130 astronauts aboard space shuttle Endeavour that they are 'go' for the deorbit burn. Endeavour and crew landed on the first opportunity Feb. 21, 2010 at 10:20 p.m. EST.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</si>
  <si>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MzUsI4Uf3lc</t>
  </si>
  <si>
    <t>2010 02 11</t>
  </si>
  <si>
    <t>https://youtu.be/sgRuCHiqYUE</t>
  </si>
  <si>
    <t>SDO Launch Manager Final Launch Readiness Poll</t>
  </si>
  <si>
    <t>The NASA launch team is polled for readiness to launch the Atlas V rocket carrying the SDO spacecraft, and give a "go" for liftoff.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</si>
  <si>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sgRuCHiqYUE</t>
  </si>
  <si>
    <t>https://youtu.be/fW5cJ4-uMYc</t>
  </si>
  <si>
    <t>SDO Post Launch comments with Omar Baez</t>
  </si>
  <si>
    <t>Commentator George Diller interviews Omar Baez, NASA Launch Manager for the Atlas V/SDO launch, at the close of countdown and launch coverage.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</si>
  <si>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fW5cJ4-uMYc</t>
  </si>
  <si>
    <t>https://youtu.be/m9GBnDJU1iE</t>
  </si>
  <si>
    <t>SDO Spacecraft Separation</t>
  </si>
  <si>
    <t>The SDO spacecraft separates from the Centaur upper stage.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</si>
  <si>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m9GBnDJU1iE</t>
  </si>
  <si>
    <t>https://youtu.be/AIBr3wlL4X8</t>
  </si>
  <si>
    <t>SDO Launch</t>
  </si>
  <si>
    <t>Atlas V Lifts Off: Launch sends the Solar Dynamics Observatory toward space.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</si>
  <si>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AIBr3wlL4X8</t>
  </si>
  <si>
    <t>https://youtu.be/94fMTHLdI3k</t>
  </si>
  <si>
    <t>Introduction to SDO Launch Commentary</t>
  </si>
  <si>
    <t>NASA Commentator George Diller opens countdown coverage for the Atlas V launch of the Solar Dynamics Observatory.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</si>
  <si>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94fMTHLdI3k</t>
  </si>
  <si>
    <t>2010 02 08</t>
  </si>
  <si>
    <t>https://youtu.be/Uym_zFWtXps</t>
  </si>
  <si>
    <t>STS-130 Farewell</t>
  </si>
  <si>
    <t>'Good Luck and Godspeed' - Launch Director Mike Leinbach says farewell to the STS-130 crew.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</si>
  <si>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Uym_zFWtXps</t>
  </si>
  <si>
    <t>https://youtu.be/l1m1Mr0aPSs</t>
  </si>
  <si>
    <t>Launch of STS-130</t>
  </si>
  <si>
    <t>A Spectacular Liftoff:  Space shuttle Endeavour blazes a trail toward orbit.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</si>
  <si>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l1m1Mr0aPSs</t>
  </si>
  <si>
    <t>https://youtu.be/JO3gQ-zWPvY</t>
  </si>
  <si>
    <t>STS-130 External Tank Jettison</t>
  </si>
  <si>
    <t>Endeavour Reaches Orbit - Endeavour's spent external fuel tank falls away after main engine cutoff.
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</si>
  <si>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JO3gQ-zWPvY</t>
  </si>
  <si>
    <t>https://youtu.be/oEaFDTL3jtY</t>
  </si>
  <si>
    <t>STS-130 Crew Strap In for Launch</t>
  </si>
  <si>
    <t>The STS-130 crew boards space shuttle Endeavour.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</si>
  <si>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oEaFDTL3jtY</t>
  </si>
  <si>
    <t>https://youtu.be/g5VkYpZWJAY</t>
  </si>
  <si>
    <t xml:space="preserve">STS-130 What's Going Up </t>
  </si>
  <si>
    <t>Items to fly aboard space shuttle Endeavour.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</si>
  <si>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g5VkYpZWJAY</t>
  </si>
  <si>
    <t>https://youtu.be/7EM7YzCzSGQ</t>
  </si>
  <si>
    <t>STS-130 Suitup and Walkout</t>
  </si>
  <si>
    <t>The STS-130 astronauts prepare for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</si>
  <si>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7EM7YzCzSGQ</t>
  </si>
  <si>
    <t>https://youtu.be/a3t_zvBMMKE</t>
  </si>
  <si>
    <t>STS-130 Live Coverage Open</t>
  </si>
  <si>
    <t>NASA Commentator Allard Beutel begins STS-130 launch commentary.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</si>
  <si>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a3t_zvBMMKE</t>
  </si>
  <si>
    <t>2010 02 05</t>
  </si>
  <si>
    <t>https://youtu.be/iNunR_PffsU</t>
  </si>
  <si>
    <t>SDO Webcast</t>
  </si>
  <si>
    <t>The prelaunch webcast feature Elizabeth Citrin, SDO project manager; Dean Pesnell, SDO project scientist; and Rex Engelhardt, mission manager for NASA's Launch Services Program at Kennedy. Tiffany Nail from the Launch Services Program hosts the program.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</si>
  <si>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iNunR_PffsU</t>
  </si>
  <si>
    <t>https://youtu.be/Cp8txp4VH4g</t>
  </si>
  <si>
    <t>SDO Spacecraft and Vehicle Flow</t>
  </si>
  <si>
    <t>The Solar Dynamics Observatory spent months in testing and preparation before being placed atop an Atlas V for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</si>
  <si>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Cp8txp4VH4g</t>
  </si>
  <si>
    <t>2010 01 29</t>
  </si>
  <si>
    <t>https://youtu.be/mcgH4YFpYDI</t>
  </si>
  <si>
    <t>NASA's Day of Remembrance</t>
  </si>
  <si>
    <t>NASA Kennedy Space Center marked the agency's Day of Remembrance on Jan. 29, 2010 with a wreath-laying ceremony at the Astronaut memorial.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</si>
  <si>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mcgH4YFpYDI</t>
  </si>
  <si>
    <t>https://youtu.be/O7iwkKFAKzs</t>
  </si>
  <si>
    <t>Into The Clean Room</t>
  </si>
  <si>
    <t>Go inside a "clean room" with NASA's Digital Learning Network.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</si>
  <si>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O7iwkKFAKzs</t>
  </si>
  <si>
    <t>2010 01 22</t>
  </si>
  <si>
    <t>https://youtu.be/lxzDc4D4hjY</t>
  </si>
  <si>
    <t>STS-130 TCDT</t>
  </si>
  <si>
    <t>Endeavour astronauts prepare for liftoff during the Terminal Countdown Demonstration Test, or TCDT, a full launch dress rehearsal for the upcoming STS-130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</si>
  <si>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lxzDc4D4hjY</t>
  </si>
  <si>
    <t>2010 01 14</t>
  </si>
  <si>
    <t>https://youtu.be/O2C9XrkGS9M</t>
  </si>
  <si>
    <t>STS-130 Rollout</t>
  </si>
  <si>
    <t>Space shuttle Endeavour rolls from the Vehicle Assembly Building to Launch Pad 39A at NASA's Kennedy Space Center in Florida, beginning the final phase of preparations before the upcoming STS-130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</si>
  <si>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O2C9XrkGS9M</t>
  </si>
  <si>
    <t>2009 12 18</t>
  </si>
  <si>
    <t>https://youtu.be/3ZMXEjufCmY</t>
  </si>
  <si>
    <t>WISE Vehicle and Spacecraft Flow</t>
  </si>
  <si>
    <t>The WISE spacecraft is readied for its mission to scan space with a specialized infrared telescope.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</si>
  <si>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3ZMXEjufCmY</t>
  </si>
  <si>
    <t>2009 12 14</t>
  </si>
  <si>
    <t>https://youtu.be/5uaFTurUOkI</t>
  </si>
  <si>
    <t>WISE Launch</t>
  </si>
  <si>
    <t>NASA's Wide-field Infrared Survey Explorer spacecraft lifted off from Vandenberg Air Force Base in California on a mission to map the entire sky at four infrared wavelengths, cataloging hundreds of millions of objects.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</si>
  <si>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5uaFTurUOkI</t>
  </si>
  <si>
    <t>2009 12 11</t>
  </si>
  <si>
    <t>https://youtu.be/erHYPQLf8aw</t>
  </si>
  <si>
    <t>WISE Webcast</t>
  </si>
  <si>
    <t>Go behind the scenes to see how the Delta II rocket and the WISE space telescope are prepared for launch on this exciting mission to view space through infrared eyes.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</si>
  <si>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erHYPQLf8aw</t>
  </si>
  <si>
    <t>2009 12 04</t>
  </si>
  <si>
    <t>https://youtu.be/SnzF9AzfhaU</t>
  </si>
  <si>
    <t>STS-129  Station Resupply and Readiness</t>
  </si>
  <si>
    <t>STS-129: Supplying the Station. Atlantis and crew deliver enough cargo to keep the space station supplied for years to come.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</si>
  <si>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SnzF9AzfhaU</t>
  </si>
  <si>
    <t>2009 12 02</t>
  </si>
  <si>
    <t>https://youtu.be/ljtNVoR78J8</t>
  </si>
  <si>
    <t>Nicole Stott's Journey Home  A First and a Last</t>
  </si>
  <si>
    <t>Astronaut Nicole Stott's return aboard space shuttle Atlantis marked both a first and a last, as she became the first Kennedy Space Center Employee to live aboard the International Space Station, and the last station crew member to catch a ride aboard the shuttle.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</si>
  <si>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ljtNVoR78J8</t>
  </si>
  <si>
    <t>2009 11 27</t>
  </si>
  <si>
    <t>https://youtu.be/y3B4eZCWm7o</t>
  </si>
  <si>
    <t>STS-129 Astronaut Post Landing Activities</t>
  </si>
  <si>
    <t>The astronauts depart space shuttle Atlantis after landing at Kennedy Space Center's Shuttle Landing Facility Runway 33, ending a successful mission STS-129.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</si>
  <si>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y3B4eZCWm7o</t>
  </si>
  <si>
    <t>https://youtu.be/Mk9qe5o5DnM</t>
  </si>
  <si>
    <t>STS-129 Landing HD</t>
  </si>
  <si>
    <t>Space shuttle Atlantis touches down on Runway 33 at Kennedy Space Center's Shuttle Landing Facility to end mission STS-129.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</si>
  <si>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Mk9qe5o5DnM</t>
  </si>
  <si>
    <t>https://youtu.be/Jei02El3wpc</t>
  </si>
  <si>
    <t>STS-129 Call for deorbit burn</t>
  </si>
  <si>
    <t>Mission Control gives the "go" to bring space shuttle Atlantis home to Kennedy after completing mission STS-129.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</si>
  <si>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Jei02El3wpc</t>
  </si>
  <si>
    <t>2009 11 23</t>
  </si>
  <si>
    <t>https://youtu.be/dtE-RiUzAhk</t>
  </si>
  <si>
    <t>Solar Farms at Kennedy Space Center</t>
  </si>
  <si>
    <t>Bob Cabana, Kennedy Space Center director, helped commission the new 1-megawatt Solar Energy Center at the spaceport. He was joined by officials from Florida Power &amp; Light and SunPower Corp.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</si>
  <si>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dtE-RiUzAhk</t>
  </si>
  <si>
    <t>2009 11 17</t>
  </si>
  <si>
    <t>https://youtu.be/PDwH9UlRIjc</t>
  </si>
  <si>
    <t>STS-129 Launch Countdown Coverage Replay</t>
  </si>
  <si>
    <t>Cam Site 2 TV-7A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</si>
  <si>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PDwH9UlRIjc</t>
  </si>
  <si>
    <t>https://youtu.be/1drp3bFh4kk</t>
  </si>
  <si>
    <t>OTV Cam 70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</si>
  <si>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1drp3bFh4kk</t>
  </si>
  <si>
    <t>https://youtu.be/PpxA8XSK3U0</t>
  </si>
  <si>
    <t>Press Site TV-50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</si>
  <si>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PpxA8XSK3U0</t>
  </si>
  <si>
    <t>https://youtu.be/8K7J5qhuJ6A</t>
  </si>
  <si>
    <t>South Beach TV-4A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</si>
  <si>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8K7J5qhuJ6A</t>
  </si>
  <si>
    <t>https://youtu.be/82P5uJXTaOk</t>
  </si>
  <si>
    <t>VAB Roof TV-5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</si>
  <si>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82P5uJXTaOk</t>
  </si>
  <si>
    <t>https://youtu.be/ObcL0BNL1_k</t>
  </si>
  <si>
    <t>UCS-15 TV-21A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</si>
  <si>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ObcL0BNL1_k</t>
  </si>
  <si>
    <t>https://youtu.be/JFWLM4rHUZk</t>
  </si>
  <si>
    <t>STS-129 Launch Countdown Coverage Replays</t>
  </si>
  <si>
    <t>SLF Tower TV-11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</si>
  <si>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JFWLM4rHUZk</t>
  </si>
  <si>
    <t>2009 11 16</t>
  </si>
  <si>
    <t>https://youtu.be/W0ltvXVJ5u4</t>
  </si>
  <si>
    <t>STS-129 Space Shuttle Launch</t>
  </si>
  <si>
    <t>Space shuttle Atlantis and its crew of six astronauts are headed for space, ready to begin their 11-day mission to the International Space Station. The climb to orbit takes about 8 1/2 minutes.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</si>
  <si>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W0ltvXVJ5u4</t>
  </si>
  <si>
    <t>https://youtu.be/grC0HFhGA70</t>
  </si>
  <si>
    <t>STS-129 Space Shuttle External Tank Jettison</t>
  </si>
  <si>
    <t>Reaching space, the external fuel tank separates from space shuttle Atlantis as the crew begins mission STS-129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</si>
  <si>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grC0HFhGA70</t>
  </si>
  <si>
    <t>https://youtu.be/F0sfUMnkItY</t>
  </si>
  <si>
    <t>STS-129 Launch Countdown Coverage Farewell</t>
  </si>
  <si>
    <t>The astronauts are given a send off by Launch Director Mike Leinbach as they prepare for the liftoff of space shuttle Atlantis on mission STS-129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</si>
  <si>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F0sfUMnkItY</t>
  </si>
  <si>
    <t>https://youtu.be/5VPAUXAbZ64</t>
  </si>
  <si>
    <t>STS-129 Launch Countdown Coverage Strap in</t>
  </si>
  <si>
    <t>The astronauts strap in for the liftoff of space shuttle Atlantis on mission STS-129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</si>
  <si>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5VPAUXAbZ64</t>
  </si>
  <si>
    <t>https://youtu.be/uXP3D4Ps5z0</t>
  </si>
  <si>
    <t>STS-129 Launch Countdown Coverage Suitup and Walkout</t>
  </si>
  <si>
    <t>The astronauts suit up and head to the launch pad for the liftoff of space shuttle Atlantis on mission STS-129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</si>
  <si>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uXP3D4Ps5z0</t>
  </si>
  <si>
    <t>https://youtu.be/d-Lhf_PhlSQ</t>
  </si>
  <si>
    <t>STS-129 Launch Countdown Coverage Introduction</t>
  </si>
  <si>
    <t>Launch Commentator George Diller opens countdown coverage of the liftoff of space shuttle Atlantis on mission STS-129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</si>
  <si>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d-Lhf_PhlSQ</t>
  </si>
  <si>
    <t>2009 11 13</t>
  </si>
  <si>
    <t>https://youtu.be/5W5fYQT97XE</t>
  </si>
  <si>
    <t>Emulsified Zero-Valent Iron Video Feature</t>
  </si>
  <si>
    <t>In April 2007, two NASA Kennedy Space Center employees were inducted into the Space Technology Hall of Fame for their award-winning work in developing a substance for cleaning up water and soils contaminated by chlorinated solvents.
The inductees, Dr. Jacqueline Quinn, a NASA environmental engineer, and Kathleen Brooks, a NASA analytical chemist, invented an emulsion called "emulsified zero-valent iron," or EZVI, to eliminate ground pollutants.
For many years chlorinated solvents have been used to clean rocket engine parts and other equipment by the Department of Energy, Department of Defense, NASA and private industry facilities around the country. 
At the time, the solvents, called "dense non-aqueous phase liquids," or DNAPLs for short, were considered safe. When the solvents were disposed of, because they are heavier than water, they sank into the ground. 
Later it was discovered the solvents could become harmful, especially to the aquifer, which is often a source of drinking water. 
DNAPLs in groundwater were difficult to remove and the process was cumbersome and costly.
Turning to nanotechnology for an answer, Quinn and Brooks teamed with researchers at the University of Central Florida to conduct the first phase of research and development of EZVI. 
The team developed a thick substance containing a mixture of iron particles, water and vegetable oil. 
The oil worked like a magnet, helping to attract contaminants, while the nanoparticles broke down the DNAPL into harmless compounds that could be consumed by microbes in the soil.
Any vegetable oil left in the groundwater would be absorbed by naturally occurring bacteria in the 
surrounding soil. Depending on the size of the contaminated site, it might take just a few weeks before the groundwater is completely clean.
But EZVI is one of only a few methods available to treat the DNAPLs at their source, and, the product is safe for the environment. 
The EZVI team was granted yet another patent, for use on metal contamination, making their innovative technology even more globally applicable.
The hall of fame honors those who transform technology originally developed to support space exploration initiatives into products that help improve the quality of life on Earth.
Anyone interested in more information should contact NASA Kennedy Space Centers Innovative 
Partnerships Program Office at (321) 867-5033.</t>
  </si>
  <si>
    <t>5W5fYQT97XE</t>
  </si>
  <si>
    <t>2009 11 06</t>
  </si>
  <si>
    <t>https://youtu.be/rgJOVnr-LbY</t>
  </si>
  <si>
    <t>STS-129 TCDT</t>
  </si>
  <si>
    <t>Atlantis Crew Prepares for Launch
The STS-129 astronauts came to NASA's Kennedy Space Center in Florida for their last prelaunch training, known as the Terminal Countdown Demonstration Test, or TCDT.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</si>
  <si>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rgJOVnr-LbY</t>
  </si>
  <si>
    <t>2009 11 03</t>
  </si>
  <si>
    <t>https://youtu.be/Ts2-J2VhAv0</t>
  </si>
  <si>
    <t>Ares I-X Aerial Footage</t>
  </si>
  <si>
    <t>An aerial video crew observed the October 28, 2009 Ares I-X test flight from a Cessna Skymaster aircraft positioned  approx. 10 nautical  miles away from the vehicle at an altitude of 12,000 feet.  The  videographer used a gyro-stabilized high-definition camera system mounted to the outside of the aircraft to capture this spectacular footage. This footage provides extremely valuable engineering data, and imagery of the recovery sequence in rarely-seen detail.
Ares I-X is the first flight test of the Constellation Program and provides NASA an early opportunity to gather critical data during vehicle ascent and during booster deceleration and recovery.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</si>
  <si>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Ts2-J2VhAv0</t>
  </si>
  <si>
    <t>2009 10 28</t>
  </si>
  <si>
    <t>https://youtu.be/H0ZHzAvFuYc</t>
  </si>
  <si>
    <t>ARES I-X Launch</t>
  </si>
  <si>
    <t>Rising into the Florida sky, the 327-foot rocket thunders away from the launch pad, marking the first time a new vehicle has launched from the complex since the first space shuttle launch in 1981.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</si>
  <si>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H0ZHzAvFuYc</t>
  </si>
  <si>
    <t>https://youtu.be/ZNdhcJRaA3w</t>
  </si>
  <si>
    <t>ARES I-X Countdown Coverage Introduction</t>
  </si>
  <si>
    <t>Launch coverage begins for the second attempt to begin the Ares I-X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</si>
  <si>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ZNdhcJRaA3w</t>
  </si>
  <si>
    <t>2009 10 27</t>
  </si>
  <si>
    <t>https://youtu.be/UilV8Xrlt4Q</t>
  </si>
  <si>
    <t>ARES I-X Countdown Coverage Scrub</t>
  </si>
  <si>
    <t>Weather scrubs launch of the Ares I-X flight test and liftoff is delayed for 24 hours.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</si>
  <si>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UilV8Xrlt4Q</t>
  </si>
  <si>
    <t>https://youtu.be/6lI7kXgSLbQ</t>
  </si>
  <si>
    <t>ARES I-X Countdown Coverage Jon Cowart Launch Status Update</t>
  </si>
  <si>
    <t>Ares I-X Deputy Mission Manager Jon Cowart talks about the milestones of developing the flight test program.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</si>
  <si>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6lI7kXgSLbQ</t>
  </si>
  <si>
    <t>https://youtu.be/AGR1wueBNkk</t>
  </si>
  <si>
    <t>ARES I-X Countdown Coverage Polling and Probe Cover Removal</t>
  </si>
  <si>
    <t>In a critical step before launch, technicians remove a protective cover from the Ares I-X nose sensors.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</si>
  <si>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AGR1wueBNkk</t>
  </si>
  <si>
    <t>https://youtu.be/dCpZ0D_Rvus</t>
  </si>
  <si>
    <t>ARES I-X Countdown Coverage Interview with Jon Cowart</t>
  </si>
  <si>
    <t>dCpZ0D_Rvus</t>
  </si>
  <si>
    <t>https://youtu.be/xckreOVh6KQ</t>
  </si>
  <si>
    <t>ARES I-X Countdown Coverage Interview with Terry McGugin</t>
  </si>
  <si>
    <t>Terry McGugin talks with NASA commentator George Diller about the parachutes developed for the Ares I-X flight test.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</si>
  <si>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xckreOVh6KQ</t>
  </si>
  <si>
    <t>2009 10 26</t>
  </si>
  <si>
    <t>https://youtu.be/lli_ANKU8Yc</t>
  </si>
  <si>
    <t>I-X Building on NASA's Famous First Flights</t>
  </si>
  <si>
    <t>A look at how the Ares I-X flight test fits in with NASA's history of launching experimental rockets and spacecraft. Thousands of engineers, designers and technicians have been working toward the Ares I-X test, which will gather data to help with future launch vehicle designs.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</si>
  <si>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lli_ANKU8Yc</t>
  </si>
  <si>
    <t>2009 10 20</t>
  </si>
  <si>
    <t>https://youtu.be/3DGyY3rOrRw</t>
  </si>
  <si>
    <t>International Space Station passing over Kennedy Space Center</t>
  </si>
  <si>
    <t>One of three shuttle tracking cameras trained on the LCROSS lunar impacts captured the International Space Station as it passed over the center.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</si>
  <si>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3DGyY3rOrRw</t>
  </si>
  <si>
    <t>2009 10 16</t>
  </si>
  <si>
    <t>https://youtu.be/fPHNqLCvqHw</t>
  </si>
  <si>
    <t>STS-129 Rollout Time Lapse</t>
  </si>
  <si>
    <t>fPHNqLCvqHw</t>
  </si>
  <si>
    <t>https://youtu.be/NGfQMMu5Hc4</t>
  </si>
  <si>
    <t>STS-129 Rolls to the Launch Pad</t>
  </si>
  <si>
    <t>Space shuttle Atlantis rolls to Launch Pad 39A at NASA's Kennedy Space Center in Florida, one of the last prelaunch milestones before liftoff on the STS-129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</si>
  <si>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NGfQMMu5Hc4</t>
  </si>
  <si>
    <t>2009 10 01</t>
  </si>
  <si>
    <t>https://youtu.be/03qHnV8BpBM</t>
  </si>
  <si>
    <t>NASA's Kennedy Space Center  America's gateway to space yesterday, today and tomorrow.</t>
  </si>
  <si>
    <t>Learn more about NASA's Kennedy Space Center: America's gateway to space yesterday, today and tomorrow.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</si>
  <si>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03qHnV8BpBM</t>
  </si>
  <si>
    <t>2009 09 25</t>
  </si>
  <si>
    <t>https://youtu.be/CzXsBGKoPDE</t>
  </si>
  <si>
    <t>STSS-Demo Launch</t>
  </si>
  <si>
    <t>The United Launch Alliance Delta II rocket with Space Tracking and Surveillance System - Demonstrator, or STSS-Demo, spacecraft launches from Launch Pad 17-B at Cape Canaveral Air Force.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</si>
  <si>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CzXsBGKoPDE</t>
  </si>
  <si>
    <t>https://youtu.be/NfvWf9-ohIg</t>
  </si>
  <si>
    <t>STS-128 Discovery Demate at Shuttle Landing Facility</t>
  </si>
  <si>
    <t>Watch this fascinating time-lapse video as Discovery is separated from the Shuttle Carrier Aircraft. (Video only - no sound)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</si>
  <si>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NfvWf9-ohIg</t>
  </si>
  <si>
    <t>2009 09 24</t>
  </si>
  <si>
    <t>https://youtu.be/dpyKTRsGExI</t>
  </si>
  <si>
    <t>ARES I-X Time Lapse Arrival &amp; Stacking on MLP</t>
  </si>
  <si>
    <t>This time-lapse video shows the building of the Ares I-X rocket from the ground up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</si>
  <si>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dpyKTRsGExI</t>
  </si>
  <si>
    <t>https://youtu.be/EwVxjqvHihM</t>
  </si>
  <si>
    <t>ARES I-X Time Lapse Lightning Mast Tower Construction</t>
  </si>
  <si>
    <t>Through time-lapse video, watch construction of the lightning towers in preparation for the Ares I-X launch.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</si>
  <si>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EwVxjqvHihM</t>
  </si>
  <si>
    <t>2009 09 22</t>
  </si>
  <si>
    <t>https://youtu.be/oDMBvXeDY6g</t>
  </si>
  <si>
    <t>Discovery Arrives Back in Florida</t>
  </si>
  <si>
    <t>Discovery has wrapped up its cross country piggy-back ride from California to its home base in Florida, after a successful mission delivering supplies and equipment to the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
(more)</t>
  </si>
  <si>
    <t>oDMBvXeDY6g</t>
  </si>
  <si>
    <t>2009 09 21</t>
  </si>
  <si>
    <t>https://youtu.be/ckI2FyBTsZA</t>
  </si>
  <si>
    <t>STS-128 Mission Overview</t>
  </si>
  <si>
    <t>STS-128 Mission Overview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</si>
  <si>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ckI2FyBTsZA</t>
  </si>
  <si>
    <t>2009 09 12</t>
  </si>
  <si>
    <t>https://youtu.be/9kfVxQTEbGk</t>
  </si>
  <si>
    <t>STS-128 Crew Walkaround</t>
  </si>
  <si>
    <t>The STS-128 crew is welcomed back after a successful mission at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</si>
  <si>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9kfVxQTEbGk</t>
  </si>
  <si>
    <t>https://youtu.be/3kBdNJVIuBA</t>
  </si>
  <si>
    <t>STS-128 Landing</t>
  </si>
  <si>
    <t>Space shuttle Discovery touched down at Edwards Air Force Base In California on Friday to end a 14-day mission to the International Space Station dedicated to outfitting the orbital laboratory with new experiments, science equipment, supplies and other gear the six people living on the station will need. Unacceptable weather conditions at NASA's Kennedy Space Center in Florida Thursday and Friday forced the detour by Discovery to the West Coast.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</si>
  <si>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3kBdNJVIuBA</t>
  </si>
  <si>
    <t>https://youtu.be/EczIjsMawQw</t>
  </si>
  <si>
    <t>STS-128 Go for Deorbit Burn</t>
  </si>
  <si>
    <t>Mission Control in Houston has given the crew of space shuttle Discovery the okay to head back to Earth.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</si>
  <si>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EczIjsMawQw</t>
  </si>
  <si>
    <t>2009 09 11</t>
  </si>
  <si>
    <t>https://youtu.be/tefLGpfFaAs</t>
  </si>
  <si>
    <t>STS-128 No Go for KSC Landing Today</t>
  </si>
  <si>
    <t>The weather forecast is "no go" for tonight's second landing opportunity at Kennedy Space Center because of the threat of rain and thunderstorms near the Shuttle Landing Facility. Entry Flight Director Richard Jones and his team are now looking at the weather forecast for a Kennedy landing tomorrow. Edwards Air Force Base in California also will be activated for possible landing possibilities.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</si>
  <si>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tefLGpfFaAs</t>
  </si>
  <si>
    <t>2009 08 29</t>
  </si>
  <si>
    <t>https://youtu.be/ijvC8AzCF1M</t>
  </si>
  <si>
    <t>STS-128 Space Shuttle Launch</t>
  </si>
  <si>
    <t>Discovery launches to begin the STS-128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</si>
  <si>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ijvC8AzCF1M</t>
  </si>
  <si>
    <t>https://youtu.be/2cPWLrviMgY</t>
  </si>
  <si>
    <t>STS-128 External Tank Jettison</t>
  </si>
  <si>
    <t>The external tank of Discovery jettisons after its fuel and oxygen have been emptied by the three main engines during the climb into space.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</si>
  <si>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2cPWLrviMgY</t>
  </si>
  <si>
    <t>https://youtu.be/CUSbQfDMyio</t>
  </si>
  <si>
    <t>STS-128 Farewell from Launch Director</t>
  </si>
  <si>
    <t>STS-128 Launch Director Pete Nickolenko clears Discovery for liftoff and wishes the crew of Discovery well.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</si>
  <si>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CUSbQfDMyio</t>
  </si>
  <si>
    <t>https://youtu.be/gdlzKTeb9Dk</t>
  </si>
  <si>
    <t>STS-128 Ingress</t>
  </si>
  <si>
    <t>The astronauts of Discovery take their places inside the shuttle before launch of the STS-128 mission.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</si>
  <si>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gdlzKTeb9Dk</t>
  </si>
  <si>
    <t>https://youtu.be/4pJj152X3BE</t>
  </si>
  <si>
    <t>STS-128 Suitup and Walkout</t>
  </si>
  <si>
    <t>The crew of STS-128 walks out to the Astrovan before heading to the launch pad.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</si>
  <si>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4pJj152X3BE</t>
  </si>
  <si>
    <t>https://youtu.be/SPP9OyLaDBE</t>
  </si>
  <si>
    <t>STS-128 Live Coverage Open</t>
  </si>
  <si>
    <t>Launch coverage begins for the liftoff of space shuttle Discovery on the STS-128 mission.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</si>
  <si>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SPP9OyLaDBE</t>
  </si>
  <si>
    <t>2009 08 25</t>
  </si>
  <si>
    <t>https://youtu.be/Fz13jfoJui0</t>
  </si>
  <si>
    <t>STS-128 Scrubbed Due to Weather</t>
  </si>
  <si>
    <t>This launch attempt has been scrubbed due to weather. Conditions just did not improve with enough time to continue the countdown. The launch team is setting up for a 24-hour scrub turnaround.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</si>
  <si>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Fz13jfoJui0</t>
  </si>
  <si>
    <t>https://youtu.be/Js-JK8gCkYk</t>
  </si>
  <si>
    <t>Colbert Ready for C.O.L.B.E.R.T. to Fly</t>
  </si>
  <si>
    <t>Comedian Stephen Colbert talks about the launch of his namesake equipment - a treadmill destined for the International Space Station.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</si>
  <si>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Js-JK8gCkYk</t>
  </si>
  <si>
    <t>2009 08 13</t>
  </si>
  <si>
    <t>https://youtu.be/ULgNlkRE-3g</t>
  </si>
  <si>
    <t>STS-128 TCDT</t>
  </si>
  <si>
    <t>The astronauts set to fly aboard space shuttle Discovery on the STS-128 mission spent three days at NASA's Kennedy Space Center in Florida participating in training and conducting a practice launch countdown.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</si>
  <si>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ULgNlkRE-3g</t>
  </si>
  <si>
    <t>https://youtu.be/E0YR9gT8Mis</t>
  </si>
  <si>
    <t>Discovery rolls to Launch Pad</t>
  </si>
  <si>
    <t>Space shuttle Discovery rolls to Launch Pad 39A at NASA's Kennedy Space Center in Florida where it will undergo final preparations for the STS-128 mission to the International Space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</si>
  <si>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E0YR9gT8Mis</t>
  </si>
  <si>
    <t>2009 07 31</t>
  </si>
  <si>
    <t>https://youtu.be/P2itpixEZ6o</t>
  </si>
  <si>
    <t>STS-127 Space Shuttle Landing</t>
  </si>
  <si>
    <t>Space shuttle Endeavour landed at Florida's Kennedy Space Center today with a touchdown at 10:48 a.m. EDT. The shuttle began its descent from orbit with a deorbit engine firing at 9:41 a.m.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</si>
  <si>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P2itpixEZ6o</t>
  </si>
  <si>
    <t>2009 07 15</t>
  </si>
  <si>
    <t>https://youtu.be/Gnch_x1G22w</t>
  </si>
  <si>
    <t>STS-127 Space Shuttle Launch</t>
  </si>
  <si>
    <t>The 16-day mission will feature five spacewalks and complete construction of the Japan Aerospace Exploration Agency's Kibo laboratory. Astronauts will attach a platform to the outside of the Japanese module that will allow experiments to be exposed to space.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</si>
  <si>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Gnch_x1G22w</t>
  </si>
  <si>
    <t>2009 07 07</t>
  </si>
  <si>
    <t>https://youtu.be/nDCGJb1TaoQ</t>
  </si>
  <si>
    <t>Lightning Towers Rise at LC-39B</t>
  </si>
  <si>
    <t>Workers built three large towers to protect the Ares I rocket from lightning bolts.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</si>
  <si>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nDCGJb1TaoQ</t>
  </si>
  <si>
    <t>https://youtu.be/rymMpXl6FYA</t>
  </si>
  <si>
    <t>Ares I-X Hardware Arrives</t>
  </si>
  <si>
    <t>The crew module simulator arrives at NASA's Kennedy Space Center in Florida in advance of the Ares I-X test flight later in 2009.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</si>
  <si>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rymMpXl6FYA</t>
  </si>
  <si>
    <t>https://youtu.be/z-s9pQXzxCE</t>
  </si>
  <si>
    <t>Time-lapse  Atlantis Readies to Fly Cross Country</t>
  </si>
  <si>
    <t>Time-lapse video of space shuttle Atlantis undergoing ferry flight preparations in NASA Drydens's Mate-DeMate Device.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</si>
  <si>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z-s9pQXzxCE</t>
  </si>
  <si>
    <t>https://youtu.be/mDxxuMwAEd4</t>
  </si>
  <si>
    <t>STS-125 Mission Overview</t>
  </si>
  <si>
    <t>The astronauts of space shuttle Atlantis upgraded NASA's Hubble Space Telescope during STS-125 before releasing the observatory for years more studies of the cosmos.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</si>
  <si>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mDxxuMwAEd4</t>
  </si>
  <si>
    <t>2009 07 06</t>
  </si>
  <si>
    <t>https://youtu.be/be5ukUtu8mg</t>
  </si>
  <si>
    <t>NASA's Orbiting Carbon Observatory Launch</t>
  </si>
  <si>
    <t>The Taurus XL rocket carrying NASA's Orbiting Carbon Observatory spacecraft lifted off Feb. 24, 2009 at 4:55 a.m. EST from Launch Complex 576-E at Vandenberg Air Force Base in California. Several minutes into the flight, launch managers declared a contingency when the fairing failed to separate properly.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</si>
  <si>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be5ukUtu8mg</t>
  </si>
  <si>
    <t>https://youtu.be/hVqnOvC-ksU</t>
  </si>
  <si>
    <t>NASA's NOAA-N Prime Satellite Launch</t>
  </si>
  <si>
    <t>The United Launch Alliance Delta II rocket lofts NASA's NOAA-N Prime satellite into the night sky. NOAA-N Prime is the latest polar-orbiting operational environmental weather satellite developed by NASA for the National Oceanic and Atmospheric Administration. The satellite is scheduled to launch Feb. 4 aboard the Delta II from Vandenberg Air Force Base.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</si>
  <si>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hVqnOvC-ksU</t>
  </si>
  <si>
    <t>https://youtu.be/j2z559S1MKA</t>
  </si>
  <si>
    <t>STS-119 Space Shuttle Landing</t>
  </si>
  <si>
    <t>STS-119 Discovery returned to Kennedy Space Center today after delivering the final set of solar arrays to the station.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</si>
  <si>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j2z559S1MKA</t>
  </si>
  <si>
    <t>https://youtu.be/lQSpFfvtQQk</t>
  </si>
  <si>
    <t>STS-119 Space Shuttle Launch</t>
  </si>
  <si>
    <t>Discovery launched at 7:43 p.m. EDT on the STS-119 mission to the International Space Station. Commander Lee Archambault and crew will install the outpost's final set of solar arrays.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</si>
  <si>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lQSpFfvtQQk</t>
  </si>
  <si>
    <t>2009 06 28</t>
  </si>
  <si>
    <t>https://youtu.be/WhhACIqczO4</t>
  </si>
  <si>
    <t>GOES-O Weather Satellite Launches</t>
  </si>
  <si>
    <t>he Delta IV carrying GOES-O lifted off at 6:51 p.m. EDT from Launch Complex 37 at Cape Canaveral Air Force Station in Florida. 
After reaching orbit, GOES-O will become GOES-14. The satellite will be used to monitor and predict weather, measure ocean temperatures, perform climate studies, and detect hazards with its emergency beacon support and Search and Rescue Transponder.
GOES-O was built by Boeing for NASA and the National Oceanic and Atmospheric Administration. Mission lifetime is expected to be 10 years, eight of which will be operational.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</si>
  <si>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WhhACIqczO4</t>
  </si>
  <si>
    <t>2009 06 19</t>
  </si>
  <si>
    <t>https://youtu.be/jW39sJeLLWc</t>
  </si>
  <si>
    <t>LRO LCROSS Preparing for Liftoff</t>
  </si>
  <si>
    <t>Follow the Atlas V rocket and the LRO/LCROSS spacecrafts as they are readied for their journey to the moon.
No copyright protection is asserted for this video.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</si>
  <si>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jW39sJeLLWc</t>
  </si>
  <si>
    <t>2009 06 18</t>
  </si>
  <si>
    <t>https://youtu.be/5cYClDjxwoo</t>
  </si>
  <si>
    <t>LRO LCROSS  Launch</t>
  </si>
  <si>
    <t>NASA's Lunar Reconnaissance Orbiter and Lunar Crater Observation and Sensing Spacecraft are on their way to the moon atop the same Atlas V rocket, although they will use vastly different methods to study the lunar environment. LRO will go into orbit around the moon, turning its suite of instruments towards the moon for thorough studies. The spacecraft also will be looking for potential landing sites for astronauts.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</si>
  <si>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5cYClDjxwoo</t>
  </si>
  <si>
    <t>https://youtu.be/k1u7tX_4TyI</t>
  </si>
  <si>
    <t>LRO-LCROSS Webcast Part 2 of 2</t>
  </si>
  <si>
    <t>Hosted by George Diller of NASA Public Affairs at Kennedy Space Center in Florida, the webcast features insight from LRO Deputy Project Manager Cathy Peddie and LCROSS Payload Scientist Dr. Kimberly Ennico. Mission Manager Chuck Tatro of NASA's Launch Services Program will also explain the painstaking work of launching two spacecraft on a single rocket.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</si>
  <si>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k1u7tX_4TyI</t>
  </si>
  <si>
    <t>https://youtu.be/2EDMGH1Esq4</t>
  </si>
  <si>
    <t>LRO-LCROSS Webcast Part 1 of 2</t>
  </si>
  <si>
    <t>2EDMGH1Esq4</t>
  </si>
  <si>
    <t>2009 06 17</t>
  </si>
  <si>
    <t>https://youtu.be/6W7Ld-JxQuw</t>
  </si>
  <si>
    <t>Our Destiny Continues</t>
  </si>
  <si>
    <t>Forty years after the giant leaps of the Apollo Program, NASA is poised for a new era of exploration on the moon.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</si>
  <si>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6W7Ld-JxQuw</t>
  </si>
  <si>
    <t>https://youtu.be/SmML27JfjIc</t>
  </si>
  <si>
    <t>STS-127 Mission Webcast</t>
  </si>
  <si>
    <t>Host Damon Talley of NASA's Digital Learning Network takes you behind the scenes at Kennedy Space Center in Florida for the inside scoop on the STS-127 mission to the International Space Station. Payload Mission Manager Scott Higginbotham will describe the Japan Aerospace Exploration Agency's Kibo elements that the STS-127 astronauts will deliver and install on the orbiting laboratory.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</si>
  <si>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SmML27JfjIc</t>
  </si>
  <si>
    <t>2009 06 02</t>
  </si>
  <si>
    <t>https://youtu.be/ZCOPYSk6-t0</t>
  </si>
  <si>
    <t>STS-125 Space Shuttle Launch</t>
  </si>
  <si>
    <t>ZCOPYSk6-t0</t>
  </si>
  <si>
    <t>https://youtu.be/xnoJoRtJFsk</t>
  </si>
  <si>
    <t>Atlantis and the crew of the STS-125 mission landed safely in California at Edwards Air Force Base after completing the Hubble Servicing Mission on Sunday, May 24, 2009. The almost 5.3-million-mile... 
Atlantis and the crew of the STS-125 mission landed safely in California at Edwards Air Force Base after completing the Hubble Servicing Mission on Sunday, May 24, 2009. The almost 5.3-million-mile mission included five spacewalks to repair and upgrade the world-famous observatory. 
If a recognizable person appears in this video, use for commercial purposes may infringe a right of privacy or publicity. It may not be used to state or imply the endorsement by NASA employees of a commercial product, process or service, or used in any other manner that might mislead. Accordingly, it is requested that if this video is used in advertising and other commercial promotion, layout and copy be submitted to NASA prior to release.</t>
  </si>
  <si>
    <t>xnoJoRtJFsk</t>
  </si>
</sst>
</file>

<file path=xl/styles.xml><?xml version="1.0" encoding="utf-8"?>
<styleSheet xmlns="http://schemas.openxmlformats.org/spreadsheetml/2006/main">
  <numFmts count="4">
    <numFmt numFmtId="43" formatCode="_-* #,##0.00_-;\-* #,##0.00_-;_-* &quot;-&quot;??_-;_-@_-"/>
    <numFmt numFmtId="41" formatCode="_-* #,##0_-;\-* #,##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rgb="FFFA7D00"/>
      <name val="Calibri"/>
      <charset val="0"/>
      <scheme val="minor"/>
    </font>
    <font>
      <sz val="11"/>
      <color theme="1"/>
      <name val="Calibri"/>
      <charset val="0"/>
      <scheme val="minor"/>
    </font>
    <font>
      <sz val="11"/>
      <color rgb="FF9C6500"/>
      <name val="Calibri"/>
      <charset val="0"/>
      <scheme val="minor"/>
    </font>
    <font>
      <b/>
      <sz val="15"/>
      <color theme="3"/>
      <name val="Calibri"/>
      <charset val="134"/>
      <scheme val="minor"/>
    </font>
    <font>
      <b/>
      <sz val="11"/>
      <color theme="3"/>
      <name val="Calibri"/>
      <charset val="134"/>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sz val="11"/>
      <color rgb="FF9C0006"/>
      <name val="Calibri"/>
      <charset val="0"/>
      <scheme val="minor"/>
    </font>
    <font>
      <sz val="11"/>
      <color rgb="FF3F3F76"/>
      <name val="Calibri"/>
      <charset val="0"/>
      <scheme val="minor"/>
    </font>
    <font>
      <b/>
      <sz val="11"/>
      <color theme="1"/>
      <name val="Calibri"/>
      <charset val="0"/>
      <scheme val="minor"/>
    </font>
    <font>
      <sz val="11"/>
      <color rgb="FF006100"/>
      <name val="Calibri"/>
      <charset val="0"/>
      <scheme val="minor"/>
    </font>
    <font>
      <b/>
      <sz val="11"/>
      <color rgb="FF3F3F3F"/>
      <name val="Calibri"/>
      <charset val="0"/>
      <scheme val="minor"/>
    </font>
    <font>
      <b/>
      <sz val="11"/>
      <color rgb="FFFA7D00"/>
      <name val="Calibri"/>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4"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12" fillId="11" borderId="5" applyNumberFormat="0" applyAlignment="0" applyProtection="0">
      <alignment vertical="center"/>
    </xf>
    <xf numFmtId="0" fontId="13" fillId="0" borderId="3" applyNumberFormat="0" applyFill="0" applyAlignment="0" applyProtection="0">
      <alignment vertical="center"/>
    </xf>
    <xf numFmtId="0" fontId="4" fillId="12" borderId="6" applyNumberFormat="0" applyFont="0" applyAlignment="0" applyProtection="0">
      <alignment vertical="center"/>
    </xf>
    <xf numFmtId="0" fontId="6" fillId="16" borderId="0" applyNumberFormat="0" applyBorder="0" applyAlignment="0" applyProtection="0">
      <alignment vertical="center"/>
    </xf>
    <xf numFmtId="0" fontId="14" fillId="0" borderId="0" applyNumberFormat="0" applyFill="0" applyBorder="0" applyAlignment="0" applyProtection="0">
      <alignment vertical="center"/>
    </xf>
    <xf numFmtId="0" fontId="6"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8" fillId="18" borderId="7" applyNumberFormat="0" applyAlignment="0" applyProtection="0">
      <alignment vertical="center"/>
    </xf>
    <xf numFmtId="0" fontId="10" fillId="9" borderId="0" applyNumberFormat="0" applyBorder="0" applyAlignment="0" applyProtection="0">
      <alignment vertical="center"/>
    </xf>
    <xf numFmtId="0" fontId="20" fillId="19" borderId="0" applyNumberFormat="0" applyBorder="0" applyAlignment="0" applyProtection="0">
      <alignment vertical="center"/>
    </xf>
    <xf numFmtId="0" fontId="21" fillId="21" borderId="9" applyNumberFormat="0" applyAlignment="0" applyProtection="0">
      <alignment vertical="center"/>
    </xf>
    <xf numFmtId="0" fontId="6" fillId="2" borderId="0" applyNumberFormat="0" applyBorder="0" applyAlignment="0" applyProtection="0">
      <alignment vertical="center"/>
    </xf>
    <xf numFmtId="0" fontId="22" fillId="21" borderId="7" applyNumberFormat="0" applyAlignment="0" applyProtection="0">
      <alignment vertical="center"/>
    </xf>
    <xf numFmtId="0" fontId="5" fillId="0" borderId="2" applyNumberFormat="0" applyFill="0" applyAlignment="0" applyProtection="0">
      <alignment vertical="center"/>
    </xf>
    <xf numFmtId="0" fontId="19" fillId="0" borderId="8" applyNumberFormat="0" applyFill="0" applyAlignment="0" applyProtection="0">
      <alignment vertical="center"/>
    </xf>
    <xf numFmtId="0" fontId="17" fillId="17" borderId="0" applyNumberFormat="0" applyBorder="0" applyAlignment="0" applyProtection="0">
      <alignment vertical="center"/>
    </xf>
    <xf numFmtId="0" fontId="7" fillId="3" borderId="0" applyNumberFormat="0" applyBorder="0" applyAlignment="0" applyProtection="0">
      <alignment vertical="center"/>
    </xf>
    <xf numFmtId="0" fontId="10" fillId="20" borderId="0" applyNumberFormat="0" applyBorder="0" applyAlignment="0" applyProtection="0">
      <alignment vertical="center"/>
    </xf>
    <xf numFmtId="0" fontId="6" fillId="22" borderId="0" applyNumberFormat="0" applyBorder="0" applyAlignment="0" applyProtection="0">
      <alignment vertical="center"/>
    </xf>
    <xf numFmtId="0" fontId="10" fillId="24" borderId="0" applyNumberFormat="0" applyBorder="0" applyAlignment="0" applyProtection="0">
      <alignment vertical="center"/>
    </xf>
    <xf numFmtId="0" fontId="10" fillId="23" borderId="0" applyNumberFormat="0" applyBorder="0" applyAlignment="0" applyProtection="0">
      <alignment vertical="center"/>
    </xf>
    <xf numFmtId="0" fontId="6" fillId="25" borderId="0" applyNumberFormat="0" applyBorder="0" applyAlignment="0" applyProtection="0">
      <alignment vertical="center"/>
    </xf>
    <xf numFmtId="0" fontId="6" fillId="15" borderId="0" applyNumberFormat="0" applyBorder="0" applyAlignment="0" applyProtection="0">
      <alignment vertical="center"/>
    </xf>
    <xf numFmtId="0" fontId="10" fillId="29" borderId="0" applyNumberFormat="0" applyBorder="0" applyAlignment="0" applyProtection="0">
      <alignment vertical="center"/>
    </xf>
    <xf numFmtId="0" fontId="10" fillId="14" borderId="0" applyNumberFormat="0" applyBorder="0" applyAlignment="0" applyProtection="0">
      <alignment vertical="center"/>
    </xf>
    <xf numFmtId="0" fontId="6" fillId="13" borderId="0" applyNumberFormat="0" applyBorder="0" applyAlignment="0" applyProtection="0">
      <alignment vertical="center"/>
    </xf>
    <xf numFmtId="0" fontId="10" fillId="28"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10" fillId="27" borderId="0" applyNumberFormat="0" applyBorder="0" applyAlignment="0" applyProtection="0">
      <alignment vertical="center"/>
    </xf>
    <xf numFmtId="0" fontId="6" fillId="26" borderId="0" applyNumberFormat="0" applyBorder="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6" fillId="30" borderId="0" applyNumberFormat="0" applyBorder="0" applyAlignment="0" applyProtection="0">
      <alignment vertical="center"/>
    </xf>
    <xf numFmtId="0" fontId="10" fillId="5"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9" Type="http://schemas.openxmlformats.org/officeDocument/2006/relationships/hyperlink" Target="https://youtu.be/FzB6dNLoWIQ" TargetMode="External"/><Relationship Id="rId998" Type="http://schemas.openxmlformats.org/officeDocument/2006/relationships/hyperlink" Target="https://youtu.be/TxQKihqPiOc" TargetMode="External"/><Relationship Id="rId997" Type="http://schemas.openxmlformats.org/officeDocument/2006/relationships/hyperlink" Target="https://youtu.be/6j77Nabl6c8" TargetMode="External"/><Relationship Id="rId996" Type="http://schemas.openxmlformats.org/officeDocument/2006/relationships/hyperlink" Target="https://youtu.be/2ngNQRGqdWs" TargetMode="External"/><Relationship Id="rId995" Type="http://schemas.openxmlformats.org/officeDocument/2006/relationships/hyperlink" Target="https://youtu.be/R9eFWwLGYPM" TargetMode="External"/><Relationship Id="rId994" Type="http://schemas.openxmlformats.org/officeDocument/2006/relationships/hyperlink" Target="https://youtu.be/33BZi6JC5ZU" TargetMode="External"/><Relationship Id="rId993" Type="http://schemas.openxmlformats.org/officeDocument/2006/relationships/hyperlink" Target="https://youtu.be/cc6y_V3YQKU" TargetMode="External"/><Relationship Id="rId992" Type="http://schemas.openxmlformats.org/officeDocument/2006/relationships/hyperlink" Target="https://youtu.be/9QtuhB6fgB8" TargetMode="External"/><Relationship Id="rId991" Type="http://schemas.openxmlformats.org/officeDocument/2006/relationships/hyperlink" Target="https://youtu.be/cJCjVLEROVw" TargetMode="External"/><Relationship Id="rId990" Type="http://schemas.openxmlformats.org/officeDocument/2006/relationships/hyperlink" Target="https://youtu.be/lABnMHy5HUU" TargetMode="External"/><Relationship Id="rId99" Type="http://schemas.openxmlformats.org/officeDocument/2006/relationships/hyperlink" Target="https://youtu.be/4c9z5lWA25Y" TargetMode="External"/><Relationship Id="rId989" Type="http://schemas.openxmlformats.org/officeDocument/2006/relationships/hyperlink" Target="https://youtu.be/ro2gcZjxFak" TargetMode="External"/><Relationship Id="rId988" Type="http://schemas.openxmlformats.org/officeDocument/2006/relationships/hyperlink" Target="https://youtu.be/CTVBAsQbF9Q" TargetMode="External"/><Relationship Id="rId987" Type="http://schemas.openxmlformats.org/officeDocument/2006/relationships/hyperlink" Target="https://youtu.be/JWnX9TtGVxY" TargetMode="External"/><Relationship Id="rId986" Type="http://schemas.openxmlformats.org/officeDocument/2006/relationships/hyperlink" Target="https://youtu.be/f1gLEatOSe8" TargetMode="External"/><Relationship Id="rId985" Type="http://schemas.openxmlformats.org/officeDocument/2006/relationships/hyperlink" Target="https://youtu.be/Q0Ak5mpQXkQ" TargetMode="External"/><Relationship Id="rId984" Type="http://schemas.openxmlformats.org/officeDocument/2006/relationships/hyperlink" Target="https://youtu.be/KIT2pGrLOqc" TargetMode="External"/><Relationship Id="rId983" Type="http://schemas.openxmlformats.org/officeDocument/2006/relationships/hyperlink" Target="https://youtu.be/As7GyQ6QTuQ" TargetMode="External"/><Relationship Id="rId982" Type="http://schemas.openxmlformats.org/officeDocument/2006/relationships/hyperlink" Target="https://youtu.be/N8zsHN6Hfww" TargetMode="External"/><Relationship Id="rId981" Type="http://schemas.openxmlformats.org/officeDocument/2006/relationships/hyperlink" Target="https://youtu.be/uHStsxlqwK8" TargetMode="External"/><Relationship Id="rId980" Type="http://schemas.openxmlformats.org/officeDocument/2006/relationships/hyperlink" Target="https://youtu.be/lLY-w5wgPvw" TargetMode="External"/><Relationship Id="rId98" Type="http://schemas.openxmlformats.org/officeDocument/2006/relationships/hyperlink" Target="https://youtu.be/xfaHIZy2rkc" TargetMode="External"/><Relationship Id="rId979" Type="http://schemas.openxmlformats.org/officeDocument/2006/relationships/hyperlink" Target="https://youtu.be/ORq-iEJXpkY" TargetMode="External"/><Relationship Id="rId978" Type="http://schemas.openxmlformats.org/officeDocument/2006/relationships/hyperlink" Target="https://youtu.be/bxcaCcLhaVI" TargetMode="External"/><Relationship Id="rId977" Type="http://schemas.openxmlformats.org/officeDocument/2006/relationships/hyperlink" Target="https://youtu.be/Pv2XGNFFTCQ" TargetMode="External"/><Relationship Id="rId976" Type="http://schemas.openxmlformats.org/officeDocument/2006/relationships/hyperlink" Target="https://youtu.be/Pl3x71-kJGM" TargetMode="External"/><Relationship Id="rId975" Type="http://schemas.openxmlformats.org/officeDocument/2006/relationships/hyperlink" Target="https://youtu.be/Tg8Cs-MEyRI" TargetMode="External"/><Relationship Id="rId974" Type="http://schemas.openxmlformats.org/officeDocument/2006/relationships/hyperlink" Target="https://youtu.be/aO0x6Nslwvw" TargetMode="External"/><Relationship Id="rId973" Type="http://schemas.openxmlformats.org/officeDocument/2006/relationships/hyperlink" Target="https://youtu.be/gxlQqN13fWA" TargetMode="External"/><Relationship Id="rId972" Type="http://schemas.openxmlformats.org/officeDocument/2006/relationships/hyperlink" Target="https://youtu.be/aXmfhsMmA44" TargetMode="External"/><Relationship Id="rId971" Type="http://schemas.openxmlformats.org/officeDocument/2006/relationships/hyperlink" Target="https://youtu.be/ukyeCnrWvGs" TargetMode="External"/><Relationship Id="rId970" Type="http://schemas.openxmlformats.org/officeDocument/2006/relationships/hyperlink" Target="https://youtu.be/mYlBabMIesE" TargetMode="External"/><Relationship Id="rId97" Type="http://schemas.openxmlformats.org/officeDocument/2006/relationships/hyperlink" Target="https://youtu.be/EVrb-caONU4" TargetMode="External"/><Relationship Id="rId969" Type="http://schemas.openxmlformats.org/officeDocument/2006/relationships/hyperlink" Target="https://youtu.be/P5rHs3SOKdo" TargetMode="External"/><Relationship Id="rId968" Type="http://schemas.openxmlformats.org/officeDocument/2006/relationships/hyperlink" Target="https://youtu.be/2PWVfUqgoso" TargetMode="External"/><Relationship Id="rId967" Type="http://schemas.openxmlformats.org/officeDocument/2006/relationships/hyperlink" Target="https://youtu.be/ZmHODhOg6x0" TargetMode="External"/><Relationship Id="rId966" Type="http://schemas.openxmlformats.org/officeDocument/2006/relationships/hyperlink" Target="https://youtu.be/dUF0ePGW-0E" TargetMode="External"/><Relationship Id="rId965" Type="http://schemas.openxmlformats.org/officeDocument/2006/relationships/hyperlink" Target="https://youtu.be/TSGrcpgzRIE" TargetMode="External"/><Relationship Id="rId964" Type="http://schemas.openxmlformats.org/officeDocument/2006/relationships/hyperlink" Target="https://youtu.be/XTsQAV17gWs" TargetMode="External"/><Relationship Id="rId963" Type="http://schemas.openxmlformats.org/officeDocument/2006/relationships/hyperlink" Target="https://youtu.be/cIZpsO7OC0g" TargetMode="External"/><Relationship Id="rId962" Type="http://schemas.openxmlformats.org/officeDocument/2006/relationships/hyperlink" Target="https://youtu.be/sFdN7MQ5yDs" TargetMode="External"/><Relationship Id="rId961" Type="http://schemas.openxmlformats.org/officeDocument/2006/relationships/hyperlink" Target="https://youtu.be/iIO2TyF6JKk" TargetMode="External"/><Relationship Id="rId960" Type="http://schemas.openxmlformats.org/officeDocument/2006/relationships/hyperlink" Target="https://youtu.be/P30SwoVJvhw" TargetMode="External"/><Relationship Id="rId96" Type="http://schemas.openxmlformats.org/officeDocument/2006/relationships/hyperlink" Target="https://youtu.be/jsgf8OmdwW0" TargetMode="External"/><Relationship Id="rId959" Type="http://schemas.openxmlformats.org/officeDocument/2006/relationships/hyperlink" Target="https://youtu.be/dSXoUvdJulU" TargetMode="External"/><Relationship Id="rId958" Type="http://schemas.openxmlformats.org/officeDocument/2006/relationships/hyperlink" Target="https://youtu.be/M5feIiW0WGU" TargetMode="External"/><Relationship Id="rId957" Type="http://schemas.openxmlformats.org/officeDocument/2006/relationships/hyperlink" Target="https://youtu.be/30MypTraV8c" TargetMode="External"/><Relationship Id="rId956" Type="http://schemas.openxmlformats.org/officeDocument/2006/relationships/hyperlink" Target="https://youtu.be/cS7j2Go5Tw8" TargetMode="External"/><Relationship Id="rId955" Type="http://schemas.openxmlformats.org/officeDocument/2006/relationships/hyperlink" Target="https://youtu.be/etn8xzF3iz0" TargetMode="External"/><Relationship Id="rId954" Type="http://schemas.openxmlformats.org/officeDocument/2006/relationships/hyperlink" Target="https://youtu.be/kjSD6DWk0OM" TargetMode="External"/><Relationship Id="rId953" Type="http://schemas.openxmlformats.org/officeDocument/2006/relationships/hyperlink" Target="https://youtu.be/jSCNWASzkvw" TargetMode="External"/><Relationship Id="rId952" Type="http://schemas.openxmlformats.org/officeDocument/2006/relationships/hyperlink" Target="https://youtu.be/y3L4eW3W9R8" TargetMode="External"/><Relationship Id="rId951" Type="http://schemas.openxmlformats.org/officeDocument/2006/relationships/hyperlink" Target="https://youtu.be/dxUD6B2jKE0" TargetMode="External"/><Relationship Id="rId950" Type="http://schemas.openxmlformats.org/officeDocument/2006/relationships/hyperlink" Target="https://youtu.be/jd80Yu_DAYg" TargetMode="External"/><Relationship Id="rId95" Type="http://schemas.openxmlformats.org/officeDocument/2006/relationships/hyperlink" Target="https://youtu.be/KsDM59EniUA" TargetMode="External"/><Relationship Id="rId949" Type="http://schemas.openxmlformats.org/officeDocument/2006/relationships/hyperlink" Target="https://youtu.be/hjL6lg0Ydvg" TargetMode="External"/><Relationship Id="rId948" Type="http://schemas.openxmlformats.org/officeDocument/2006/relationships/hyperlink" Target="https://youtu.be/u0jJ0MiP1RA" TargetMode="External"/><Relationship Id="rId947" Type="http://schemas.openxmlformats.org/officeDocument/2006/relationships/hyperlink" Target="https://youtu.be/-kQHpRzIsdk" TargetMode="External"/><Relationship Id="rId946" Type="http://schemas.openxmlformats.org/officeDocument/2006/relationships/hyperlink" Target="https://youtu.be/uGdf7rh9kms" TargetMode="External"/><Relationship Id="rId945" Type="http://schemas.openxmlformats.org/officeDocument/2006/relationships/hyperlink" Target="https://youtu.be/JIi4JPEpPYA" TargetMode="External"/><Relationship Id="rId944" Type="http://schemas.openxmlformats.org/officeDocument/2006/relationships/hyperlink" Target="https://youtu.be/0uVGH5_DFxg" TargetMode="External"/><Relationship Id="rId943" Type="http://schemas.openxmlformats.org/officeDocument/2006/relationships/hyperlink" Target="https://youtu.be/6UUoeU8TzsE" TargetMode="External"/><Relationship Id="rId942" Type="http://schemas.openxmlformats.org/officeDocument/2006/relationships/hyperlink" Target="https://youtu.be/Qm03NizaKKs" TargetMode="External"/><Relationship Id="rId941" Type="http://schemas.openxmlformats.org/officeDocument/2006/relationships/hyperlink" Target="https://youtu.be/2ca874kxzak" TargetMode="External"/><Relationship Id="rId940" Type="http://schemas.openxmlformats.org/officeDocument/2006/relationships/hyperlink" Target="https://youtu.be/12We_GFYtFg" TargetMode="External"/><Relationship Id="rId94" Type="http://schemas.openxmlformats.org/officeDocument/2006/relationships/hyperlink" Target="https://youtu.be/0QD9FamCL0c" TargetMode="External"/><Relationship Id="rId939" Type="http://schemas.openxmlformats.org/officeDocument/2006/relationships/hyperlink" Target="https://youtu.be/SjX3Q5GUmrs" TargetMode="External"/><Relationship Id="rId938" Type="http://schemas.openxmlformats.org/officeDocument/2006/relationships/hyperlink" Target="https://youtu.be/PFgOXMrm2mQ" TargetMode="External"/><Relationship Id="rId937" Type="http://schemas.openxmlformats.org/officeDocument/2006/relationships/hyperlink" Target="https://youtu.be/FRqLNdwsPBM" TargetMode="External"/><Relationship Id="rId936" Type="http://schemas.openxmlformats.org/officeDocument/2006/relationships/hyperlink" Target="https://youtu.be/_ayXPlsQf6M" TargetMode="External"/><Relationship Id="rId935" Type="http://schemas.openxmlformats.org/officeDocument/2006/relationships/hyperlink" Target="https://youtu.be/d19WEJqt008" TargetMode="External"/><Relationship Id="rId934" Type="http://schemas.openxmlformats.org/officeDocument/2006/relationships/hyperlink" Target="https://youtu.be/dsg6WR4BWhw" TargetMode="External"/><Relationship Id="rId933" Type="http://schemas.openxmlformats.org/officeDocument/2006/relationships/hyperlink" Target="https://youtu.be/0DMTjfHyGxU" TargetMode="External"/><Relationship Id="rId932" Type="http://schemas.openxmlformats.org/officeDocument/2006/relationships/hyperlink" Target="https://youtu.be/0Z_SlfPgCvw" TargetMode="External"/><Relationship Id="rId931" Type="http://schemas.openxmlformats.org/officeDocument/2006/relationships/hyperlink" Target="https://youtu.be/O3Lj_ubfO5w" TargetMode="External"/><Relationship Id="rId930" Type="http://schemas.openxmlformats.org/officeDocument/2006/relationships/hyperlink" Target="https://youtu.be/yxYoo62Vq6M" TargetMode="External"/><Relationship Id="rId93" Type="http://schemas.openxmlformats.org/officeDocument/2006/relationships/hyperlink" Target="https://youtu.be/eEUmiVNjb3k" TargetMode="External"/><Relationship Id="rId929" Type="http://schemas.openxmlformats.org/officeDocument/2006/relationships/hyperlink" Target="https://youtu.be/KczNvC82Z9A" TargetMode="External"/><Relationship Id="rId928" Type="http://schemas.openxmlformats.org/officeDocument/2006/relationships/hyperlink" Target="https://youtu.be/V0cozFTLmb4" TargetMode="External"/><Relationship Id="rId927" Type="http://schemas.openxmlformats.org/officeDocument/2006/relationships/hyperlink" Target="https://youtu.be/ArkuFW-2JR4" TargetMode="External"/><Relationship Id="rId926" Type="http://schemas.openxmlformats.org/officeDocument/2006/relationships/hyperlink" Target="https://youtu.be/9CBU_wzHWWI" TargetMode="External"/><Relationship Id="rId925" Type="http://schemas.openxmlformats.org/officeDocument/2006/relationships/hyperlink" Target="https://youtu.be/c3OUi8uuRKs" TargetMode="External"/><Relationship Id="rId924" Type="http://schemas.openxmlformats.org/officeDocument/2006/relationships/hyperlink" Target="https://youtu.be/5gLfrTCk8XU" TargetMode="External"/><Relationship Id="rId923" Type="http://schemas.openxmlformats.org/officeDocument/2006/relationships/hyperlink" Target="https://youtu.be/o4OBKOlgmfo" TargetMode="External"/><Relationship Id="rId922" Type="http://schemas.openxmlformats.org/officeDocument/2006/relationships/hyperlink" Target="https://youtu.be/LNI9Lc_E7ak" TargetMode="External"/><Relationship Id="rId921" Type="http://schemas.openxmlformats.org/officeDocument/2006/relationships/hyperlink" Target="https://youtu.be/kImDl0IafSI" TargetMode="External"/><Relationship Id="rId920" Type="http://schemas.openxmlformats.org/officeDocument/2006/relationships/hyperlink" Target="https://youtu.be/aUMXCZVmL0Q" TargetMode="External"/><Relationship Id="rId92" Type="http://schemas.openxmlformats.org/officeDocument/2006/relationships/hyperlink" Target="https://youtu.be/B_Cj80SvHKY" TargetMode="External"/><Relationship Id="rId919" Type="http://schemas.openxmlformats.org/officeDocument/2006/relationships/hyperlink" Target="https://youtu.be/B-5CffGXFlo" TargetMode="External"/><Relationship Id="rId918" Type="http://schemas.openxmlformats.org/officeDocument/2006/relationships/hyperlink" Target="https://youtu.be/x7IHtDLDEIE" TargetMode="External"/><Relationship Id="rId917" Type="http://schemas.openxmlformats.org/officeDocument/2006/relationships/hyperlink" Target="https://youtu.be/ehnh99dLxVg" TargetMode="External"/><Relationship Id="rId916" Type="http://schemas.openxmlformats.org/officeDocument/2006/relationships/hyperlink" Target="https://youtu.be/ymbByvEeBeQ" TargetMode="External"/><Relationship Id="rId915" Type="http://schemas.openxmlformats.org/officeDocument/2006/relationships/hyperlink" Target="https://youtu.be/WJ4joZSPNtg" TargetMode="External"/><Relationship Id="rId914" Type="http://schemas.openxmlformats.org/officeDocument/2006/relationships/hyperlink" Target="https://youtu.be/ihF8PES8O20" TargetMode="External"/><Relationship Id="rId913" Type="http://schemas.openxmlformats.org/officeDocument/2006/relationships/hyperlink" Target="https://youtu.be/my-D9yvBmbg" TargetMode="External"/><Relationship Id="rId912" Type="http://schemas.openxmlformats.org/officeDocument/2006/relationships/hyperlink" Target="https://youtu.be/h62PXxGEtpE" TargetMode="External"/><Relationship Id="rId911" Type="http://schemas.openxmlformats.org/officeDocument/2006/relationships/hyperlink" Target="https://youtu.be/sWU0R7ChCBY" TargetMode="External"/><Relationship Id="rId910" Type="http://schemas.openxmlformats.org/officeDocument/2006/relationships/hyperlink" Target="https://youtu.be/vDKa4ut2kCs" TargetMode="External"/><Relationship Id="rId91" Type="http://schemas.openxmlformats.org/officeDocument/2006/relationships/hyperlink" Target="https://youtu.be/J2cVwjXPa_U" TargetMode="External"/><Relationship Id="rId909" Type="http://schemas.openxmlformats.org/officeDocument/2006/relationships/hyperlink" Target="https://youtu.be/efjf37ZPYz4" TargetMode="External"/><Relationship Id="rId908" Type="http://schemas.openxmlformats.org/officeDocument/2006/relationships/hyperlink" Target="https://youtu.be/NOLY3qdW7Tc" TargetMode="External"/><Relationship Id="rId907" Type="http://schemas.openxmlformats.org/officeDocument/2006/relationships/hyperlink" Target="https://youtu.be/S4Hn5ags6ho" TargetMode="External"/><Relationship Id="rId906" Type="http://schemas.openxmlformats.org/officeDocument/2006/relationships/hyperlink" Target="https://youtu.be/GUr5jNa5Mmc" TargetMode="External"/><Relationship Id="rId905" Type="http://schemas.openxmlformats.org/officeDocument/2006/relationships/hyperlink" Target="https://youtu.be/6KTnohSNCsI" TargetMode="External"/><Relationship Id="rId904" Type="http://schemas.openxmlformats.org/officeDocument/2006/relationships/hyperlink" Target="https://youtu.be/-49ssHebxyw" TargetMode="External"/><Relationship Id="rId903" Type="http://schemas.openxmlformats.org/officeDocument/2006/relationships/hyperlink" Target="https://youtu.be/cBCB-I5HMPE" TargetMode="External"/><Relationship Id="rId902" Type="http://schemas.openxmlformats.org/officeDocument/2006/relationships/hyperlink" Target="https://youtu.be/q_WlqPcxa8M" TargetMode="External"/><Relationship Id="rId901" Type="http://schemas.openxmlformats.org/officeDocument/2006/relationships/hyperlink" Target="https://youtu.be/ysH86oXWyAs" TargetMode="External"/><Relationship Id="rId900" Type="http://schemas.openxmlformats.org/officeDocument/2006/relationships/hyperlink" Target="https://youtu.be/LGgyO6LhAe8" TargetMode="External"/><Relationship Id="rId90" Type="http://schemas.openxmlformats.org/officeDocument/2006/relationships/hyperlink" Target="https://youtu.be/jj75Ptm4NRo" TargetMode="External"/><Relationship Id="rId9" Type="http://schemas.openxmlformats.org/officeDocument/2006/relationships/hyperlink" Target="https://youtu.be/aafdQuVxQnY" TargetMode="External"/><Relationship Id="rId899" Type="http://schemas.openxmlformats.org/officeDocument/2006/relationships/hyperlink" Target="https://youtu.be/OET3e3XTfeg" TargetMode="External"/><Relationship Id="rId898" Type="http://schemas.openxmlformats.org/officeDocument/2006/relationships/hyperlink" Target="https://youtu.be/CYjfI7ffF6w" TargetMode="External"/><Relationship Id="rId897" Type="http://schemas.openxmlformats.org/officeDocument/2006/relationships/hyperlink" Target="https://youtu.be/2ASKYNyF15k" TargetMode="External"/><Relationship Id="rId896" Type="http://schemas.openxmlformats.org/officeDocument/2006/relationships/hyperlink" Target="https://youtu.be/LPhCiflVZXs" TargetMode="External"/><Relationship Id="rId895" Type="http://schemas.openxmlformats.org/officeDocument/2006/relationships/hyperlink" Target="https://youtu.be/10XHrKlQJ0g" TargetMode="External"/><Relationship Id="rId894" Type="http://schemas.openxmlformats.org/officeDocument/2006/relationships/hyperlink" Target="https://youtu.be/blppA8tsBW0" TargetMode="External"/><Relationship Id="rId893" Type="http://schemas.openxmlformats.org/officeDocument/2006/relationships/hyperlink" Target="https://youtu.be/HDW3cxexUPY" TargetMode="External"/><Relationship Id="rId892" Type="http://schemas.openxmlformats.org/officeDocument/2006/relationships/hyperlink" Target="https://youtu.be/D_723qwjULM" TargetMode="External"/><Relationship Id="rId891" Type="http://schemas.openxmlformats.org/officeDocument/2006/relationships/hyperlink" Target="https://youtu.be/CBcEtOcWkq8" TargetMode="External"/><Relationship Id="rId890" Type="http://schemas.openxmlformats.org/officeDocument/2006/relationships/hyperlink" Target="https://youtu.be/CgfJFKwvDDI" TargetMode="External"/><Relationship Id="rId89" Type="http://schemas.openxmlformats.org/officeDocument/2006/relationships/hyperlink" Target="https://youtu.be/GrS72QDfjF4" TargetMode="External"/><Relationship Id="rId889" Type="http://schemas.openxmlformats.org/officeDocument/2006/relationships/hyperlink" Target="https://youtu.be/aQ_1W7xIHvc" TargetMode="External"/><Relationship Id="rId888" Type="http://schemas.openxmlformats.org/officeDocument/2006/relationships/hyperlink" Target="https://youtu.be/RKZ4zmAOI1A" TargetMode="External"/><Relationship Id="rId887" Type="http://schemas.openxmlformats.org/officeDocument/2006/relationships/hyperlink" Target="https://youtu.be/RvIpqI41_eU" TargetMode="External"/><Relationship Id="rId886" Type="http://schemas.openxmlformats.org/officeDocument/2006/relationships/hyperlink" Target="https://youtu.be/hcpdJM5s4VQ" TargetMode="External"/><Relationship Id="rId885" Type="http://schemas.openxmlformats.org/officeDocument/2006/relationships/hyperlink" Target="https://youtu.be/mTYFOX7pmXI" TargetMode="External"/><Relationship Id="rId884" Type="http://schemas.openxmlformats.org/officeDocument/2006/relationships/hyperlink" Target="https://youtu.be/mjcepGVKtso" TargetMode="External"/><Relationship Id="rId883" Type="http://schemas.openxmlformats.org/officeDocument/2006/relationships/hyperlink" Target="https://youtu.be/kXqNx00E5qQ" TargetMode="External"/><Relationship Id="rId882" Type="http://schemas.openxmlformats.org/officeDocument/2006/relationships/hyperlink" Target="https://youtu.be/FTytXb0R0Yk" TargetMode="External"/><Relationship Id="rId881" Type="http://schemas.openxmlformats.org/officeDocument/2006/relationships/hyperlink" Target="https://youtu.be/tCHAr5uyHV4" TargetMode="External"/><Relationship Id="rId880" Type="http://schemas.openxmlformats.org/officeDocument/2006/relationships/hyperlink" Target="https://youtu.be/68M2uKAA0v4" TargetMode="External"/><Relationship Id="rId88" Type="http://schemas.openxmlformats.org/officeDocument/2006/relationships/hyperlink" Target="https://youtu.be/PFPpI3AMJLc" TargetMode="External"/><Relationship Id="rId879" Type="http://schemas.openxmlformats.org/officeDocument/2006/relationships/hyperlink" Target="https://youtu.be/hh5WaiZTK0k" TargetMode="External"/><Relationship Id="rId878" Type="http://schemas.openxmlformats.org/officeDocument/2006/relationships/hyperlink" Target="https://youtu.be/5BBgZmEX3Ps" TargetMode="External"/><Relationship Id="rId877" Type="http://schemas.openxmlformats.org/officeDocument/2006/relationships/hyperlink" Target="https://youtu.be/pAiN3VGxB1Q" TargetMode="External"/><Relationship Id="rId876" Type="http://schemas.openxmlformats.org/officeDocument/2006/relationships/hyperlink" Target="https://youtu.be/QgFszVWvfd0" TargetMode="External"/><Relationship Id="rId875" Type="http://schemas.openxmlformats.org/officeDocument/2006/relationships/hyperlink" Target="https://youtu.be/UjIf8zUSy-w" TargetMode="External"/><Relationship Id="rId874" Type="http://schemas.openxmlformats.org/officeDocument/2006/relationships/hyperlink" Target="https://youtu.be/5bkIcffhcUw" TargetMode="External"/><Relationship Id="rId873" Type="http://schemas.openxmlformats.org/officeDocument/2006/relationships/hyperlink" Target="https://youtu.be/flX8HXX99nc" TargetMode="External"/><Relationship Id="rId872" Type="http://schemas.openxmlformats.org/officeDocument/2006/relationships/hyperlink" Target="https://youtu.be/rRyeTkE4glM" TargetMode="External"/><Relationship Id="rId871" Type="http://schemas.openxmlformats.org/officeDocument/2006/relationships/hyperlink" Target="https://youtu.be/FGVRNRZXzME" TargetMode="External"/><Relationship Id="rId870" Type="http://schemas.openxmlformats.org/officeDocument/2006/relationships/hyperlink" Target="https://youtu.be/n_kIH58cxv8" TargetMode="External"/><Relationship Id="rId87" Type="http://schemas.openxmlformats.org/officeDocument/2006/relationships/hyperlink" Target="https://youtu.be/M1AfFVi5iOk" TargetMode="External"/><Relationship Id="rId869" Type="http://schemas.openxmlformats.org/officeDocument/2006/relationships/hyperlink" Target="https://youtu.be/ss0axWCy6vU" TargetMode="External"/><Relationship Id="rId868" Type="http://schemas.openxmlformats.org/officeDocument/2006/relationships/hyperlink" Target="https://youtu.be/q422ZkLmcZo" TargetMode="External"/><Relationship Id="rId867" Type="http://schemas.openxmlformats.org/officeDocument/2006/relationships/hyperlink" Target="https://youtu.be/yEOCq6KcwXo" TargetMode="External"/><Relationship Id="rId866" Type="http://schemas.openxmlformats.org/officeDocument/2006/relationships/hyperlink" Target="https://youtu.be/E1z_W8de_s8" TargetMode="External"/><Relationship Id="rId865" Type="http://schemas.openxmlformats.org/officeDocument/2006/relationships/hyperlink" Target="https://youtu.be/VPEWKBo_wco" TargetMode="External"/><Relationship Id="rId864" Type="http://schemas.openxmlformats.org/officeDocument/2006/relationships/hyperlink" Target="https://youtu.be/Ia47odj1BlQ" TargetMode="External"/><Relationship Id="rId863" Type="http://schemas.openxmlformats.org/officeDocument/2006/relationships/hyperlink" Target="https://youtu.be/ZbApD6niDiA" TargetMode="External"/><Relationship Id="rId862" Type="http://schemas.openxmlformats.org/officeDocument/2006/relationships/hyperlink" Target="https://youtu.be/K5sSK4MK6lQ" TargetMode="External"/><Relationship Id="rId861" Type="http://schemas.openxmlformats.org/officeDocument/2006/relationships/hyperlink" Target="https://youtu.be/hr1XTLC9uqw" TargetMode="External"/><Relationship Id="rId860" Type="http://schemas.openxmlformats.org/officeDocument/2006/relationships/hyperlink" Target="https://youtu.be/WZLmrd2Cvtg" TargetMode="External"/><Relationship Id="rId86" Type="http://schemas.openxmlformats.org/officeDocument/2006/relationships/hyperlink" Target="https://youtu.be/rZiQgf3oF9A" TargetMode="External"/><Relationship Id="rId859" Type="http://schemas.openxmlformats.org/officeDocument/2006/relationships/hyperlink" Target="https://youtu.be/6ckmQufauDo" TargetMode="External"/><Relationship Id="rId858" Type="http://schemas.openxmlformats.org/officeDocument/2006/relationships/hyperlink" Target="https://youtu.be/eAVWgLEjNE0" TargetMode="External"/><Relationship Id="rId857" Type="http://schemas.openxmlformats.org/officeDocument/2006/relationships/hyperlink" Target="https://youtu.be/uD4xh7FE7Hw" TargetMode="External"/><Relationship Id="rId856" Type="http://schemas.openxmlformats.org/officeDocument/2006/relationships/hyperlink" Target="https://youtu.be/IU_sIP9blxM" TargetMode="External"/><Relationship Id="rId855" Type="http://schemas.openxmlformats.org/officeDocument/2006/relationships/hyperlink" Target="https://youtu.be/4beUYDuJAis" TargetMode="External"/><Relationship Id="rId854" Type="http://schemas.openxmlformats.org/officeDocument/2006/relationships/hyperlink" Target="https://youtu.be/NMD5pUy9dhc" TargetMode="External"/><Relationship Id="rId853" Type="http://schemas.openxmlformats.org/officeDocument/2006/relationships/hyperlink" Target="https://youtu.be/F-FwXtxV3f8" TargetMode="External"/><Relationship Id="rId852" Type="http://schemas.openxmlformats.org/officeDocument/2006/relationships/hyperlink" Target="https://youtu.be/ztEhWeuL_S4" TargetMode="External"/><Relationship Id="rId851" Type="http://schemas.openxmlformats.org/officeDocument/2006/relationships/hyperlink" Target="https://youtu.be/jSzjEKQhf14" TargetMode="External"/><Relationship Id="rId850" Type="http://schemas.openxmlformats.org/officeDocument/2006/relationships/hyperlink" Target="https://youtu.be/Z1VuefaRrdc" TargetMode="External"/><Relationship Id="rId85" Type="http://schemas.openxmlformats.org/officeDocument/2006/relationships/hyperlink" Target="https://youtu.be/rcDTlEyb9kA" TargetMode="External"/><Relationship Id="rId849" Type="http://schemas.openxmlformats.org/officeDocument/2006/relationships/hyperlink" Target="https://youtu.be/nKB09Bi6BUY" TargetMode="External"/><Relationship Id="rId848" Type="http://schemas.openxmlformats.org/officeDocument/2006/relationships/hyperlink" Target="https://youtu.be/I_aNwjprFPY" TargetMode="External"/><Relationship Id="rId847" Type="http://schemas.openxmlformats.org/officeDocument/2006/relationships/hyperlink" Target="https://youtu.be/M90MB93o_xQ" TargetMode="External"/><Relationship Id="rId846" Type="http://schemas.openxmlformats.org/officeDocument/2006/relationships/hyperlink" Target="https://youtu.be/6yfRzMk6jd8" TargetMode="External"/><Relationship Id="rId845" Type="http://schemas.openxmlformats.org/officeDocument/2006/relationships/hyperlink" Target="https://youtu.be/3SA4V1s_u1I" TargetMode="External"/><Relationship Id="rId844" Type="http://schemas.openxmlformats.org/officeDocument/2006/relationships/hyperlink" Target="https://youtu.be/abKTvFTdfd4" TargetMode="External"/><Relationship Id="rId843" Type="http://schemas.openxmlformats.org/officeDocument/2006/relationships/hyperlink" Target="https://youtu.be/8YXIZUxxImQ" TargetMode="External"/><Relationship Id="rId842" Type="http://schemas.openxmlformats.org/officeDocument/2006/relationships/hyperlink" Target="https://youtu.be/mpzH8Hablwg" TargetMode="External"/><Relationship Id="rId841" Type="http://schemas.openxmlformats.org/officeDocument/2006/relationships/hyperlink" Target="https://youtu.be/Z-7xQzrovTQ" TargetMode="External"/><Relationship Id="rId840" Type="http://schemas.openxmlformats.org/officeDocument/2006/relationships/hyperlink" Target="https://youtu.be/MCRssVdabEg" TargetMode="External"/><Relationship Id="rId84" Type="http://schemas.openxmlformats.org/officeDocument/2006/relationships/hyperlink" Target="https://youtu.be/vspLSxP7hmY" TargetMode="External"/><Relationship Id="rId839" Type="http://schemas.openxmlformats.org/officeDocument/2006/relationships/hyperlink" Target="https://youtu.be/UlqFAKJuK24" TargetMode="External"/><Relationship Id="rId838" Type="http://schemas.openxmlformats.org/officeDocument/2006/relationships/hyperlink" Target="https://youtu.be/bHY-yUA4Hds" TargetMode="External"/><Relationship Id="rId837" Type="http://schemas.openxmlformats.org/officeDocument/2006/relationships/hyperlink" Target="https://youtu.be/hM5fcxFwcHk" TargetMode="External"/><Relationship Id="rId836" Type="http://schemas.openxmlformats.org/officeDocument/2006/relationships/hyperlink" Target="https://youtu.be/loqk1PaoFcw" TargetMode="External"/><Relationship Id="rId835" Type="http://schemas.openxmlformats.org/officeDocument/2006/relationships/hyperlink" Target="https://youtu.be/ZtUmo_8NLGE" TargetMode="External"/><Relationship Id="rId834" Type="http://schemas.openxmlformats.org/officeDocument/2006/relationships/hyperlink" Target="https://youtu.be/uDiBIXksBrs" TargetMode="External"/><Relationship Id="rId833" Type="http://schemas.openxmlformats.org/officeDocument/2006/relationships/hyperlink" Target="https://youtu.be/QpyvBa9nm2w" TargetMode="External"/><Relationship Id="rId832" Type="http://schemas.openxmlformats.org/officeDocument/2006/relationships/hyperlink" Target="https://youtu.be/Yn7_4GRqtOk" TargetMode="External"/><Relationship Id="rId831" Type="http://schemas.openxmlformats.org/officeDocument/2006/relationships/hyperlink" Target="https://youtu.be/hCeIG06iAEA" TargetMode="External"/><Relationship Id="rId830" Type="http://schemas.openxmlformats.org/officeDocument/2006/relationships/hyperlink" Target="https://youtu.be/cQ_IueWEPas" TargetMode="External"/><Relationship Id="rId83" Type="http://schemas.openxmlformats.org/officeDocument/2006/relationships/hyperlink" Target="https://youtu.be/kALGpL1uFHk" TargetMode="External"/><Relationship Id="rId829" Type="http://schemas.openxmlformats.org/officeDocument/2006/relationships/hyperlink" Target="https://youtu.be/ZqzH0Gm6gnc" TargetMode="External"/><Relationship Id="rId828" Type="http://schemas.openxmlformats.org/officeDocument/2006/relationships/hyperlink" Target="https://youtu.be/wA4XRpZ9gms" TargetMode="External"/><Relationship Id="rId827" Type="http://schemas.openxmlformats.org/officeDocument/2006/relationships/hyperlink" Target="https://youtu.be/3kYiK6Bbt3I" TargetMode="External"/><Relationship Id="rId826" Type="http://schemas.openxmlformats.org/officeDocument/2006/relationships/hyperlink" Target="https://youtu.be/QH4M9ZOqXhY" TargetMode="External"/><Relationship Id="rId825" Type="http://schemas.openxmlformats.org/officeDocument/2006/relationships/hyperlink" Target="https://youtu.be/36nO9ebt73Q" TargetMode="External"/><Relationship Id="rId824" Type="http://schemas.openxmlformats.org/officeDocument/2006/relationships/hyperlink" Target="https://youtu.be/kVWlbYrHTgI" TargetMode="External"/><Relationship Id="rId823" Type="http://schemas.openxmlformats.org/officeDocument/2006/relationships/hyperlink" Target="https://youtu.be/m3BRi7XcELM" TargetMode="External"/><Relationship Id="rId822" Type="http://schemas.openxmlformats.org/officeDocument/2006/relationships/hyperlink" Target="https://youtu.be/dBFO4y0tO0M" TargetMode="External"/><Relationship Id="rId821" Type="http://schemas.openxmlformats.org/officeDocument/2006/relationships/hyperlink" Target="https://youtu.be/pzJxhtVJwmE" TargetMode="External"/><Relationship Id="rId820" Type="http://schemas.openxmlformats.org/officeDocument/2006/relationships/hyperlink" Target="https://youtu.be/sqgffDXi5II" TargetMode="External"/><Relationship Id="rId82" Type="http://schemas.openxmlformats.org/officeDocument/2006/relationships/hyperlink" Target="https://youtu.be/FHpq9vKJQFU" TargetMode="External"/><Relationship Id="rId819" Type="http://schemas.openxmlformats.org/officeDocument/2006/relationships/hyperlink" Target="https://youtu.be/G46MuTjvgFI" TargetMode="External"/><Relationship Id="rId818" Type="http://schemas.openxmlformats.org/officeDocument/2006/relationships/hyperlink" Target="https://youtu.be/4PG438XSarg" TargetMode="External"/><Relationship Id="rId817" Type="http://schemas.openxmlformats.org/officeDocument/2006/relationships/hyperlink" Target="https://youtu.be/WaM7PjxflCU" TargetMode="External"/><Relationship Id="rId816" Type="http://schemas.openxmlformats.org/officeDocument/2006/relationships/hyperlink" Target="https://youtu.be/38qTfP3jcL8" TargetMode="External"/><Relationship Id="rId815" Type="http://schemas.openxmlformats.org/officeDocument/2006/relationships/hyperlink" Target="https://youtu.be/sDKNIk93S5g" TargetMode="External"/><Relationship Id="rId814" Type="http://schemas.openxmlformats.org/officeDocument/2006/relationships/hyperlink" Target="https://youtu.be/8dbjoLCmxRU" TargetMode="External"/><Relationship Id="rId813" Type="http://schemas.openxmlformats.org/officeDocument/2006/relationships/hyperlink" Target="https://youtu.be/VXYjJSyIkg4" TargetMode="External"/><Relationship Id="rId812" Type="http://schemas.openxmlformats.org/officeDocument/2006/relationships/hyperlink" Target="https://youtu.be/10eum__SZ5k" TargetMode="External"/><Relationship Id="rId811" Type="http://schemas.openxmlformats.org/officeDocument/2006/relationships/hyperlink" Target="https://youtu.be/9B_YawQKW4Q" TargetMode="External"/><Relationship Id="rId810" Type="http://schemas.openxmlformats.org/officeDocument/2006/relationships/hyperlink" Target="https://youtu.be/fa5tYn4MU-I" TargetMode="External"/><Relationship Id="rId81" Type="http://schemas.openxmlformats.org/officeDocument/2006/relationships/hyperlink" Target="https://youtu.be/JD5jMpcBT10" TargetMode="External"/><Relationship Id="rId809" Type="http://schemas.openxmlformats.org/officeDocument/2006/relationships/hyperlink" Target="https://youtu.be/Iq02CZZQgUs" TargetMode="External"/><Relationship Id="rId808" Type="http://schemas.openxmlformats.org/officeDocument/2006/relationships/hyperlink" Target="https://youtu.be/Oqj3s4RoB_M" TargetMode="External"/><Relationship Id="rId807" Type="http://schemas.openxmlformats.org/officeDocument/2006/relationships/hyperlink" Target="https://youtu.be/z6MlHg5avsg" TargetMode="External"/><Relationship Id="rId806" Type="http://schemas.openxmlformats.org/officeDocument/2006/relationships/hyperlink" Target="https://youtu.be/FUGofLb587c" TargetMode="External"/><Relationship Id="rId805" Type="http://schemas.openxmlformats.org/officeDocument/2006/relationships/hyperlink" Target="https://youtu.be/dbHwou_o96g" TargetMode="External"/><Relationship Id="rId804" Type="http://schemas.openxmlformats.org/officeDocument/2006/relationships/hyperlink" Target="https://youtu.be/eFgjqCEuE1k" TargetMode="External"/><Relationship Id="rId803" Type="http://schemas.openxmlformats.org/officeDocument/2006/relationships/hyperlink" Target="https://youtu.be/yZvXt82CqwM" TargetMode="External"/><Relationship Id="rId802" Type="http://schemas.openxmlformats.org/officeDocument/2006/relationships/hyperlink" Target="https://youtu.be/f9xw79nK5ec" TargetMode="External"/><Relationship Id="rId801" Type="http://schemas.openxmlformats.org/officeDocument/2006/relationships/hyperlink" Target="https://youtu.be/CyJRyt7AKI4" TargetMode="External"/><Relationship Id="rId800" Type="http://schemas.openxmlformats.org/officeDocument/2006/relationships/hyperlink" Target="https://youtu.be/OkhJJ0aZnoc" TargetMode="External"/><Relationship Id="rId80" Type="http://schemas.openxmlformats.org/officeDocument/2006/relationships/hyperlink" Target="https://youtu.be/CRW7eQ44t7U" TargetMode="External"/><Relationship Id="rId8" Type="http://schemas.openxmlformats.org/officeDocument/2006/relationships/hyperlink" Target="https://youtu.be/O7dNT2qA1dw" TargetMode="External"/><Relationship Id="rId799" Type="http://schemas.openxmlformats.org/officeDocument/2006/relationships/hyperlink" Target="https://youtu.be/FKECWHiFJiA" TargetMode="External"/><Relationship Id="rId798" Type="http://schemas.openxmlformats.org/officeDocument/2006/relationships/hyperlink" Target="https://youtu.be/RV0gXFsJEdA" TargetMode="External"/><Relationship Id="rId797" Type="http://schemas.openxmlformats.org/officeDocument/2006/relationships/hyperlink" Target="https://youtu.be/hrKzwYUY1E8" TargetMode="External"/><Relationship Id="rId796" Type="http://schemas.openxmlformats.org/officeDocument/2006/relationships/hyperlink" Target="https://youtu.be/GpJDskL7Sx0" TargetMode="External"/><Relationship Id="rId795" Type="http://schemas.openxmlformats.org/officeDocument/2006/relationships/hyperlink" Target="https://youtu.be/uO1QZEH62Pw" TargetMode="External"/><Relationship Id="rId794" Type="http://schemas.openxmlformats.org/officeDocument/2006/relationships/hyperlink" Target="https://youtu.be/U_lrfcsgUbY" TargetMode="External"/><Relationship Id="rId793" Type="http://schemas.openxmlformats.org/officeDocument/2006/relationships/hyperlink" Target="https://youtu.be/TQfR6XF69mo" TargetMode="External"/><Relationship Id="rId792" Type="http://schemas.openxmlformats.org/officeDocument/2006/relationships/hyperlink" Target="https://youtu.be/bkJ3DueQVt4" TargetMode="External"/><Relationship Id="rId791" Type="http://schemas.openxmlformats.org/officeDocument/2006/relationships/hyperlink" Target="https://youtu.be/vLcz34UdBJg" TargetMode="External"/><Relationship Id="rId790" Type="http://schemas.openxmlformats.org/officeDocument/2006/relationships/hyperlink" Target="https://youtu.be/EP46JOV2Ef4" TargetMode="External"/><Relationship Id="rId79" Type="http://schemas.openxmlformats.org/officeDocument/2006/relationships/hyperlink" Target="https://youtu.be/4GNHdLTAkLU" TargetMode="External"/><Relationship Id="rId789" Type="http://schemas.openxmlformats.org/officeDocument/2006/relationships/hyperlink" Target="https://youtu.be/qquqG1aU5Sk" TargetMode="External"/><Relationship Id="rId788" Type="http://schemas.openxmlformats.org/officeDocument/2006/relationships/hyperlink" Target="https://youtu.be/uIsn-EGs1p4" TargetMode="External"/><Relationship Id="rId787" Type="http://schemas.openxmlformats.org/officeDocument/2006/relationships/hyperlink" Target="https://youtu.be/eNcfhrJ34NA" TargetMode="External"/><Relationship Id="rId786" Type="http://schemas.openxmlformats.org/officeDocument/2006/relationships/hyperlink" Target="https://youtu.be/RZ9j97zxWUo" TargetMode="External"/><Relationship Id="rId785" Type="http://schemas.openxmlformats.org/officeDocument/2006/relationships/hyperlink" Target="https://youtu.be/k6-hkOmAwls" TargetMode="External"/><Relationship Id="rId784" Type="http://schemas.openxmlformats.org/officeDocument/2006/relationships/hyperlink" Target="https://youtu.be/qnOmIWbp19k" TargetMode="External"/><Relationship Id="rId783" Type="http://schemas.openxmlformats.org/officeDocument/2006/relationships/hyperlink" Target="https://youtu.be/-wr_caHW_9Y" TargetMode="External"/><Relationship Id="rId782" Type="http://schemas.openxmlformats.org/officeDocument/2006/relationships/hyperlink" Target="https://youtu.be/1sOaR5IkyIs" TargetMode="External"/><Relationship Id="rId781" Type="http://schemas.openxmlformats.org/officeDocument/2006/relationships/hyperlink" Target="https://youtu.be/qA6KPkEx7PA" TargetMode="External"/><Relationship Id="rId780" Type="http://schemas.openxmlformats.org/officeDocument/2006/relationships/hyperlink" Target="https://youtu.be/tIZxZMP7vNk" TargetMode="External"/><Relationship Id="rId78" Type="http://schemas.openxmlformats.org/officeDocument/2006/relationships/hyperlink" Target="https://youtu.be/YYdnp-fXa-Q" TargetMode="External"/><Relationship Id="rId779" Type="http://schemas.openxmlformats.org/officeDocument/2006/relationships/hyperlink" Target="https://youtu.be/b8EtGkpKOBA" TargetMode="External"/><Relationship Id="rId778" Type="http://schemas.openxmlformats.org/officeDocument/2006/relationships/hyperlink" Target="https://youtu.be/RiHpbFf4a0s" TargetMode="External"/><Relationship Id="rId777" Type="http://schemas.openxmlformats.org/officeDocument/2006/relationships/hyperlink" Target="https://youtu.be/Mt5Sj_ClZWo" TargetMode="External"/><Relationship Id="rId776" Type="http://schemas.openxmlformats.org/officeDocument/2006/relationships/hyperlink" Target="https://youtu.be/Q3G-KIuzguY" TargetMode="External"/><Relationship Id="rId775" Type="http://schemas.openxmlformats.org/officeDocument/2006/relationships/hyperlink" Target="https://youtu.be/3ENAW5KmELE" TargetMode="External"/><Relationship Id="rId774" Type="http://schemas.openxmlformats.org/officeDocument/2006/relationships/hyperlink" Target="https://youtu.be/0Ul77wuXAWs" TargetMode="External"/><Relationship Id="rId773" Type="http://schemas.openxmlformats.org/officeDocument/2006/relationships/hyperlink" Target="https://youtu.be/3kqdzZcejM0" TargetMode="External"/><Relationship Id="rId772" Type="http://schemas.openxmlformats.org/officeDocument/2006/relationships/hyperlink" Target="https://youtu.be/silrQqvMyqg" TargetMode="External"/><Relationship Id="rId771" Type="http://schemas.openxmlformats.org/officeDocument/2006/relationships/hyperlink" Target="https://youtu.be/3cqqzh7oi7k" TargetMode="External"/><Relationship Id="rId770" Type="http://schemas.openxmlformats.org/officeDocument/2006/relationships/hyperlink" Target="https://youtu.be/RlN6_3_h8M0" TargetMode="External"/><Relationship Id="rId77" Type="http://schemas.openxmlformats.org/officeDocument/2006/relationships/hyperlink" Target="https://youtu.be/2plQe69M-MI" TargetMode="External"/><Relationship Id="rId769" Type="http://schemas.openxmlformats.org/officeDocument/2006/relationships/hyperlink" Target="https://youtu.be/Z7ADMA1eRFQ" TargetMode="External"/><Relationship Id="rId768" Type="http://schemas.openxmlformats.org/officeDocument/2006/relationships/hyperlink" Target="https://youtu.be/XQYkdOPqkWc" TargetMode="External"/><Relationship Id="rId767" Type="http://schemas.openxmlformats.org/officeDocument/2006/relationships/hyperlink" Target="https://youtu.be/8SCqZ7NOvZs" TargetMode="External"/><Relationship Id="rId766" Type="http://schemas.openxmlformats.org/officeDocument/2006/relationships/hyperlink" Target="https://youtu.be/at3cCCstD2Q" TargetMode="External"/><Relationship Id="rId765" Type="http://schemas.openxmlformats.org/officeDocument/2006/relationships/hyperlink" Target="https://youtu.be/cOXceSRMcjA" TargetMode="External"/><Relationship Id="rId764" Type="http://schemas.openxmlformats.org/officeDocument/2006/relationships/hyperlink" Target="https://youtu.be/FVL-C328CHQ" TargetMode="External"/><Relationship Id="rId763" Type="http://schemas.openxmlformats.org/officeDocument/2006/relationships/hyperlink" Target="https://youtu.be/Y8r6lAOOCHc" TargetMode="External"/><Relationship Id="rId762" Type="http://schemas.openxmlformats.org/officeDocument/2006/relationships/hyperlink" Target="https://youtu.be/Saaq1yMxt84" TargetMode="External"/><Relationship Id="rId761" Type="http://schemas.openxmlformats.org/officeDocument/2006/relationships/hyperlink" Target="https://youtu.be/s5q28w6yjy4" TargetMode="External"/><Relationship Id="rId760" Type="http://schemas.openxmlformats.org/officeDocument/2006/relationships/hyperlink" Target="https://youtu.be/xjK1Es_h3UY" TargetMode="External"/><Relationship Id="rId76" Type="http://schemas.openxmlformats.org/officeDocument/2006/relationships/hyperlink" Target="https://youtu.be/phGTKOEEtCg" TargetMode="External"/><Relationship Id="rId759" Type="http://schemas.openxmlformats.org/officeDocument/2006/relationships/hyperlink" Target="https://youtu.be/NpMPNqdRA2A" TargetMode="External"/><Relationship Id="rId758" Type="http://schemas.openxmlformats.org/officeDocument/2006/relationships/hyperlink" Target="https://youtu.be/1Uf-X-n6we0" TargetMode="External"/><Relationship Id="rId757" Type="http://schemas.openxmlformats.org/officeDocument/2006/relationships/hyperlink" Target="https://youtu.be/cynVuXYiif8" TargetMode="External"/><Relationship Id="rId756" Type="http://schemas.openxmlformats.org/officeDocument/2006/relationships/hyperlink" Target="https://youtu.be/2hi0IDUKVWg" TargetMode="External"/><Relationship Id="rId755" Type="http://schemas.openxmlformats.org/officeDocument/2006/relationships/hyperlink" Target="https://youtu.be/9ZFvkUI5gt4" TargetMode="External"/><Relationship Id="rId754" Type="http://schemas.openxmlformats.org/officeDocument/2006/relationships/hyperlink" Target="https://youtu.be/ULfQdFY9PQM" TargetMode="External"/><Relationship Id="rId753" Type="http://schemas.openxmlformats.org/officeDocument/2006/relationships/hyperlink" Target="https://youtu.be/O8yKyhNqoaA" TargetMode="External"/><Relationship Id="rId752" Type="http://schemas.openxmlformats.org/officeDocument/2006/relationships/hyperlink" Target="https://youtu.be/8aNRCbGm52M" TargetMode="External"/><Relationship Id="rId751" Type="http://schemas.openxmlformats.org/officeDocument/2006/relationships/hyperlink" Target="https://youtu.be/PIF8zvnEN9c" TargetMode="External"/><Relationship Id="rId750" Type="http://schemas.openxmlformats.org/officeDocument/2006/relationships/hyperlink" Target="https://youtu.be/t6Xm5N5UFqc" TargetMode="External"/><Relationship Id="rId75" Type="http://schemas.openxmlformats.org/officeDocument/2006/relationships/hyperlink" Target="https://youtu.be/Cir0g--CdTc" TargetMode="External"/><Relationship Id="rId749" Type="http://schemas.openxmlformats.org/officeDocument/2006/relationships/hyperlink" Target="https://youtu.be/JcmjW6mTV64" TargetMode="External"/><Relationship Id="rId748" Type="http://schemas.openxmlformats.org/officeDocument/2006/relationships/hyperlink" Target="https://youtu.be/cLKNzBzGiL4" TargetMode="External"/><Relationship Id="rId747" Type="http://schemas.openxmlformats.org/officeDocument/2006/relationships/hyperlink" Target="https://youtu.be/boDt0odsZBY" TargetMode="External"/><Relationship Id="rId746" Type="http://schemas.openxmlformats.org/officeDocument/2006/relationships/hyperlink" Target="https://youtu.be/4biErxQV4ag" TargetMode="External"/><Relationship Id="rId745" Type="http://schemas.openxmlformats.org/officeDocument/2006/relationships/hyperlink" Target="https://youtu.be/AM40S4kJETI" TargetMode="External"/><Relationship Id="rId744" Type="http://schemas.openxmlformats.org/officeDocument/2006/relationships/hyperlink" Target="https://youtu.be/iRcrewH3XL4" TargetMode="External"/><Relationship Id="rId743" Type="http://schemas.openxmlformats.org/officeDocument/2006/relationships/hyperlink" Target="https://youtu.be/cRLnAeL3wdU" TargetMode="External"/><Relationship Id="rId742" Type="http://schemas.openxmlformats.org/officeDocument/2006/relationships/hyperlink" Target="https://youtu.be/d10PaWrsWIo" TargetMode="External"/><Relationship Id="rId741" Type="http://schemas.openxmlformats.org/officeDocument/2006/relationships/hyperlink" Target="https://youtu.be/2BUaS2QCeZk" TargetMode="External"/><Relationship Id="rId740" Type="http://schemas.openxmlformats.org/officeDocument/2006/relationships/hyperlink" Target="https://youtu.be/SlXydcXcNfM" TargetMode="External"/><Relationship Id="rId74" Type="http://schemas.openxmlformats.org/officeDocument/2006/relationships/hyperlink" Target="https://youtu.be/66ToNkguhtA" TargetMode="External"/><Relationship Id="rId739" Type="http://schemas.openxmlformats.org/officeDocument/2006/relationships/hyperlink" Target="https://youtu.be/W6hOLMnaicY" TargetMode="External"/><Relationship Id="rId738" Type="http://schemas.openxmlformats.org/officeDocument/2006/relationships/hyperlink" Target="https://youtu.be/fJTyac0ifDo" TargetMode="External"/><Relationship Id="rId737" Type="http://schemas.openxmlformats.org/officeDocument/2006/relationships/hyperlink" Target="https://youtu.be/mq0R-PlcqAk" TargetMode="External"/><Relationship Id="rId736" Type="http://schemas.openxmlformats.org/officeDocument/2006/relationships/hyperlink" Target="https://youtu.be/r_5lZ2S0zTg" TargetMode="External"/><Relationship Id="rId735" Type="http://schemas.openxmlformats.org/officeDocument/2006/relationships/hyperlink" Target="https://youtu.be/1kvE-WeUYTo" TargetMode="External"/><Relationship Id="rId734" Type="http://schemas.openxmlformats.org/officeDocument/2006/relationships/hyperlink" Target="https://youtu.be/qidg0MzqBeM" TargetMode="External"/><Relationship Id="rId733" Type="http://schemas.openxmlformats.org/officeDocument/2006/relationships/hyperlink" Target="https://youtu.be/6uE0GuhYtPE" TargetMode="External"/><Relationship Id="rId732" Type="http://schemas.openxmlformats.org/officeDocument/2006/relationships/hyperlink" Target="https://youtu.be/xSF5GWS01YE" TargetMode="External"/><Relationship Id="rId731" Type="http://schemas.openxmlformats.org/officeDocument/2006/relationships/hyperlink" Target="https://youtu.be/rIgJwyHD9vs" TargetMode="External"/><Relationship Id="rId730" Type="http://schemas.openxmlformats.org/officeDocument/2006/relationships/hyperlink" Target="https://youtu.be/QWfEbkj9GgI" TargetMode="External"/><Relationship Id="rId73" Type="http://schemas.openxmlformats.org/officeDocument/2006/relationships/hyperlink" Target="https://youtu.be/XCat2sUjy4s" TargetMode="External"/><Relationship Id="rId729" Type="http://schemas.openxmlformats.org/officeDocument/2006/relationships/hyperlink" Target="https://youtu.be/By0fhGgo6kA" TargetMode="External"/><Relationship Id="rId728" Type="http://schemas.openxmlformats.org/officeDocument/2006/relationships/hyperlink" Target="https://youtu.be/k0cvGRIFMK0" TargetMode="External"/><Relationship Id="rId727" Type="http://schemas.openxmlformats.org/officeDocument/2006/relationships/hyperlink" Target="https://youtu.be/BlWE_Z0TLFE" TargetMode="External"/><Relationship Id="rId726" Type="http://schemas.openxmlformats.org/officeDocument/2006/relationships/hyperlink" Target="https://youtu.be/fwS5Cvyuw08" TargetMode="External"/><Relationship Id="rId725" Type="http://schemas.openxmlformats.org/officeDocument/2006/relationships/hyperlink" Target="https://youtu.be/4dh_ZeMEadE" TargetMode="External"/><Relationship Id="rId724" Type="http://schemas.openxmlformats.org/officeDocument/2006/relationships/hyperlink" Target="https://youtu.be/FDhJYgcHDX8" TargetMode="External"/><Relationship Id="rId723" Type="http://schemas.openxmlformats.org/officeDocument/2006/relationships/hyperlink" Target="https://youtu.be/ezg8HA4AwFY" TargetMode="External"/><Relationship Id="rId722" Type="http://schemas.openxmlformats.org/officeDocument/2006/relationships/hyperlink" Target="https://youtu.be/qUKHT6DGe5o" TargetMode="External"/><Relationship Id="rId721" Type="http://schemas.openxmlformats.org/officeDocument/2006/relationships/hyperlink" Target="https://youtu.be/O7lpEoUV7BQ" TargetMode="External"/><Relationship Id="rId720" Type="http://schemas.openxmlformats.org/officeDocument/2006/relationships/hyperlink" Target="https://youtu.be/N0CAxVT6ucM" TargetMode="External"/><Relationship Id="rId72" Type="http://schemas.openxmlformats.org/officeDocument/2006/relationships/hyperlink" Target="https://youtu.be/A0pexQImxj0" TargetMode="External"/><Relationship Id="rId719" Type="http://schemas.openxmlformats.org/officeDocument/2006/relationships/hyperlink" Target="https://youtu.be/Hr9M98ZAV3s" TargetMode="External"/><Relationship Id="rId718" Type="http://schemas.openxmlformats.org/officeDocument/2006/relationships/hyperlink" Target="https://youtu.be/Hc5ODp0uSs8" TargetMode="External"/><Relationship Id="rId717" Type="http://schemas.openxmlformats.org/officeDocument/2006/relationships/hyperlink" Target="https://youtu.be/8zwHj6Q-2JA" TargetMode="External"/><Relationship Id="rId716" Type="http://schemas.openxmlformats.org/officeDocument/2006/relationships/hyperlink" Target="https://youtu.be/Pr2IsapvdaY" TargetMode="External"/><Relationship Id="rId715" Type="http://schemas.openxmlformats.org/officeDocument/2006/relationships/hyperlink" Target="https://youtu.be/RYMLQyYF32s" TargetMode="External"/><Relationship Id="rId714" Type="http://schemas.openxmlformats.org/officeDocument/2006/relationships/hyperlink" Target="https://youtu.be/o5Z_YvjBuGE" TargetMode="External"/><Relationship Id="rId713" Type="http://schemas.openxmlformats.org/officeDocument/2006/relationships/hyperlink" Target="https://youtu.be/3gM6NblzlWQ" TargetMode="External"/><Relationship Id="rId712" Type="http://schemas.openxmlformats.org/officeDocument/2006/relationships/hyperlink" Target="https://youtu.be/tLWrZFA_wtY" TargetMode="External"/><Relationship Id="rId711" Type="http://schemas.openxmlformats.org/officeDocument/2006/relationships/hyperlink" Target="https://youtu.be/XK4f9KpzGpA" TargetMode="External"/><Relationship Id="rId710" Type="http://schemas.openxmlformats.org/officeDocument/2006/relationships/hyperlink" Target="https://youtu.be/1IOHhrdBasg" TargetMode="External"/><Relationship Id="rId71" Type="http://schemas.openxmlformats.org/officeDocument/2006/relationships/hyperlink" Target="https://youtu.be/qXFr4Rz8QV4" TargetMode="External"/><Relationship Id="rId709" Type="http://schemas.openxmlformats.org/officeDocument/2006/relationships/hyperlink" Target="https://youtu.be/qN6ptUAdvag" TargetMode="External"/><Relationship Id="rId708" Type="http://schemas.openxmlformats.org/officeDocument/2006/relationships/hyperlink" Target="https://youtu.be/CW6R_0x3oaM" TargetMode="External"/><Relationship Id="rId707" Type="http://schemas.openxmlformats.org/officeDocument/2006/relationships/hyperlink" Target="https://youtu.be/20ks8gLJW-8" TargetMode="External"/><Relationship Id="rId706" Type="http://schemas.openxmlformats.org/officeDocument/2006/relationships/hyperlink" Target="https://youtu.be/ZrfKdo6yGaI" TargetMode="External"/><Relationship Id="rId705" Type="http://schemas.openxmlformats.org/officeDocument/2006/relationships/hyperlink" Target="https://youtu.be/Bla3RsVia9A" TargetMode="External"/><Relationship Id="rId704" Type="http://schemas.openxmlformats.org/officeDocument/2006/relationships/hyperlink" Target="https://youtu.be/fD-8NB4DFr0" TargetMode="External"/><Relationship Id="rId703" Type="http://schemas.openxmlformats.org/officeDocument/2006/relationships/hyperlink" Target="https://youtu.be/1TFdQVJVU8s" TargetMode="External"/><Relationship Id="rId702" Type="http://schemas.openxmlformats.org/officeDocument/2006/relationships/hyperlink" Target="https://youtu.be/Eo8ibQWG6is" TargetMode="External"/><Relationship Id="rId701" Type="http://schemas.openxmlformats.org/officeDocument/2006/relationships/hyperlink" Target="https://youtu.be/GuruFHI5u8Q" TargetMode="External"/><Relationship Id="rId700" Type="http://schemas.openxmlformats.org/officeDocument/2006/relationships/hyperlink" Target="https://youtu.be/BXCJ3oKoiCw" TargetMode="External"/><Relationship Id="rId70" Type="http://schemas.openxmlformats.org/officeDocument/2006/relationships/hyperlink" Target="https://youtu.be/E2b_zy0DFkg" TargetMode="External"/><Relationship Id="rId7" Type="http://schemas.openxmlformats.org/officeDocument/2006/relationships/hyperlink" Target="https://youtu.be/Nf5HU1LgO2A" TargetMode="External"/><Relationship Id="rId699" Type="http://schemas.openxmlformats.org/officeDocument/2006/relationships/hyperlink" Target="https://youtu.be/P9qhLDGC3DQ" TargetMode="External"/><Relationship Id="rId698" Type="http://schemas.openxmlformats.org/officeDocument/2006/relationships/hyperlink" Target="https://youtu.be/DA6C11qtKi8" TargetMode="External"/><Relationship Id="rId697" Type="http://schemas.openxmlformats.org/officeDocument/2006/relationships/hyperlink" Target="https://youtu.be/Duc8FoGhInQ" TargetMode="External"/><Relationship Id="rId696" Type="http://schemas.openxmlformats.org/officeDocument/2006/relationships/hyperlink" Target="https://youtu.be/VVyNQXWxH24" TargetMode="External"/><Relationship Id="rId695" Type="http://schemas.openxmlformats.org/officeDocument/2006/relationships/hyperlink" Target="https://youtu.be/lIYzjYnKLmk" TargetMode="External"/><Relationship Id="rId694" Type="http://schemas.openxmlformats.org/officeDocument/2006/relationships/hyperlink" Target="https://youtu.be/Vcp-uR562BM" TargetMode="External"/><Relationship Id="rId693" Type="http://schemas.openxmlformats.org/officeDocument/2006/relationships/hyperlink" Target="https://youtu.be/lOSsx8ukYs0" TargetMode="External"/><Relationship Id="rId692" Type="http://schemas.openxmlformats.org/officeDocument/2006/relationships/hyperlink" Target="https://youtu.be/zgPXkPps59w" TargetMode="External"/><Relationship Id="rId691" Type="http://schemas.openxmlformats.org/officeDocument/2006/relationships/hyperlink" Target="https://youtu.be/05xdq6W9kRs" TargetMode="External"/><Relationship Id="rId690" Type="http://schemas.openxmlformats.org/officeDocument/2006/relationships/hyperlink" Target="https://youtu.be/-Stl3hKI9Io" TargetMode="External"/><Relationship Id="rId69" Type="http://schemas.openxmlformats.org/officeDocument/2006/relationships/hyperlink" Target="https://youtu.be/lrVVz1mPnYQ" TargetMode="External"/><Relationship Id="rId689" Type="http://schemas.openxmlformats.org/officeDocument/2006/relationships/hyperlink" Target="https://youtu.be/a-DaDOWwB-Y" TargetMode="External"/><Relationship Id="rId688" Type="http://schemas.openxmlformats.org/officeDocument/2006/relationships/hyperlink" Target="https://youtu.be/IJjGUd5VG84" TargetMode="External"/><Relationship Id="rId687" Type="http://schemas.openxmlformats.org/officeDocument/2006/relationships/hyperlink" Target="https://youtu.be/rbfVMiNMTFE" TargetMode="External"/><Relationship Id="rId686" Type="http://schemas.openxmlformats.org/officeDocument/2006/relationships/hyperlink" Target="https://youtu.be/iANQC6i1m14" TargetMode="External"/><Relationship Id="rId685" Type="http://schemas.openxmlformats.org/officeDocument/2006/relationships/hyperlink" Target="https://youtu.be/7JCEyyDmiPw" TargetMode="External"/><Relationship Id="rId684" Type="http://schemas.openxmlformats.org/officeDocument/2006/relationships/hyperlink" Target="https://youtu.be/mMu3SG8_Zjc" TargetMode="External"/><Relationship Id="rId683" Type="http://schemas.openxmlformats.org/officeDocument/2006/relationships/hyperlink" Target="https://youtu.be/eS3sNVT7IKo" TargetMode="External"/><Relationship Id="rId682" Type="http://schemas.openxmlformats.org/officeDocument/2006/relationships/hyperlink" Target="https://youtu.be/mzEloqzys3Y" TargetMode="External"/><Relationship Id="rId681" Type="http://schemas.openxmlformats.org/officeDocument/2006/relationships/hyperlink" Target="https://youtu.be/vgYBGSEDNHk" TargetMode="External"/><Relationship Id="rId680" Type="http://schemas.openxmlformats.org/officeDocument/2006/relationships/hyperlink" Target="https://youtu.be/3e0-pS19PXM" TargetMode="External"/><Relationship Id="rId68" Type="http://schemas.openxmlformats.org/officeDocument/2006/relationships/hyperlink" Target="https://youtu.be/qNpAxzg_v9E" TargetMode="External"/><Relationship Id="rId679" Type="http://schemas.openxmlformats.org/officeDocument/2006/relationships/hyperlink" Target="https://youtu.be/zrz16s2ajDE" TargetMode="External"/><Relationship Id="rId678" Type="http://schemas.openxmlformats.org/officeDocument/2006/relationships/hyperlink" Target="https://youtu.be/xfBMfrLjZVs" TargetMode="External"/><Relationship Id="rId677" Type="http://schemas.openxmlformats.org/officeDocument/2006/relationships/hyperlink" Target="https://youtu.be/VJlNJxc1lTY" TargetMode="External"/><Relationship Id="rId676" Type="http://schemas.openxmlformats.org/officeDocument/2006/relationships/hyperlink" Target="https://youtu.be/sJzpIZV0Kcw" TargetMode="External"/><Relationship Id="rId675" Type="http://schemas.openxmlformats.org/officeDocument/2006/relationships/hyperlink" Target="https://youtu.be/4SSZTpxrEOA" TargetMode="External"/><Relationship Id="rId674" Type="http://schemas.openxmlformats.org/officeDocument/2006/relationships/hyperlink" Target="https://youtu.be/1KWi3MLvbZ8" TargetMode="External"/><Relationship Id="rId673" Type="http://schemas.openxmlformats.org/officeDocument/2006/relationships/hyperlink" Target="https://youtu.be/UPU7dVe-3fU" TargetMode="External"/><Relationship Id="rId672" Type="http://schemas.openxmlformats.org/officeDocument/2006/relationships/hyperlink" Target="https://youtu.be/gAMANsAqU4I" TargetMode="External"/><Relationship Id="rId671" Type="http://schemas.openxmlformats.org/officeDocument/2006/relationships/hyperlink" Target="https://youtu.be/TY_qZ0jc5Mw" TargetMode="External"/><Relationship Id="rId670" Type="http://schemas.openxmlformats.org/officeDocument/2006/relationships/hyperlink" Target="https://youtu.be/QEwLE3An32Q" TargetMode="External"/><Relationship Id="rId67" Type="http://schemas.openxmlformats.org/officeDocument/2006/relationships/hyperlink" Target="https://youtu.be/vdL8a4r44kM" TargetMode="External"/><Relationship Id="rId669" Type="http://schemas.openxmlformats.org/officeDocument/2006/relationships/hyperlink" Target="https://youtu.be/HZMiJ_Q47qk" TargetMode="External"/><Relationship Id="rId668" Type="http://schemas.openxmlformats.org/officeDocument/2006/relationships/hyperlink" Target="https://youtu.be/pnRdIyIWI0k" TargetMode="External"/><Relationship Id="rId667" Type="http://schemas.openxmlformats.org/officeDocument/2006/relationships/hyperlink" Target="https://youtu.be/BLJBVkLVGHE" TargetMode="External"/><Relationship Id="rId666" Type="http://schemas.openxmlformats.org/officeDocument/2006/relationships/hyperlink" Target="https://youtu.be/HpQXV7gXjYU" TargetMode="External"/><Relationship Id="rId665" Type="http://schemas.openxmlformats.org/officeDocument/2006/relationships/hyperlink" Target="https://youtu.be/4zbQAZpeP58" TargetMode="External"/><Relationship Id="rId664" Type="http://schemas.openxmlformats.org/officeDocument/2006/relationships/hyperlink" Target="https://youtu.be/H_Mv-kKDi6s" TargetMode="External"/><Relationship Id="rId663" Type="http://schemas.openxmlformats.org/officeDocument/2006/relationships/hyperlink" Target="https://youtu.be/wP78v3vXqQE" TargetMode="External"/><Relationship Id="rId662" Type="http://schemas.openxmlformats.org/officeDocument/2006/relationships/hyperlink" Target="https://youtu.be/tGxVZSjNPls" TargetMode="External"/><Relationship Id="rId661" Type="http://schemas.openxmlformats.org/officeDocument/2006/relationships/hyperlink" Target="https://youtu.be/-w2PzJFoFFY" TargetMode="External"/><Relationship Id="rId660" Type="http://schemas.openxmlformats.org/officeDocument/2006/relationships/hyperlink" Target="https://youtu.be/KpTYjvqh2Do" TargetMode="External"/><Relationship Id="rId66" Type="http://schemas.openxmlformats.org/officeDocument/2006/relationships/hyperlink" Target="https://youtu.be/Y2P2-fV2f0o" TargetMode="External"/><Relationship Id="rId659" Type="http://schemas.openxmlformats.org/officeDocument/2006/relationships/hyperlink" Target="https://youtu.be/aO3Mhd2Ncyk" TargetMode="External"/><Relationship Id="rId658" Type="http://schemas.openxmlformats.org/officeDocument/2006/relationships/hyperlink" Target="https://youtu.be/tQimE2eXzXo" TargetMode="External"/><Relationship Id="rId657" Type="http://schemas.openxmlformats.org/officeDocument/2006/relationships/hyperlink" Target="https://youtu.be/gU7KpkVLZ_g" TargetMode="External"/><Relationship Id="rId656" Type="http://schemas.openxmlformats.org/officeDocument/2006/relationships/hyperlink" Target="https://youtu.be/V9MxDez33po" TargetMode="External"/><Relationship Id="rId655" Type="http://schemas.openxmlformats.org/officeDocument/2006/relationships/hyperlink" Target="https://youtu.be/HareXOAtaZo" TargetMode="External"/><Relationship Id="rId654" Type="http://schemas.openxmlformats.org/officeDocument/2006/relationships/hyperlink" Target="https://youtu.be/Wy1NkpdEXHo" TargetMode="External"/><Relationship Id="rId653" Type="http://schemas.openxmlformats.org/officeDocument/2006/relationships/hyperlink" Target="https://youtu.be/wwiD0MT_M70" TargetMode="External"/><Relationship Id="rId652" Type="http://schemas.openxmlformats.org/officeDocument/2006/relationships/hyperlink" Target="https://youtu.be/6X7x2jvGeYc" TargetMode="External"/><Relationship Id="rId651" Type="http://schemas.openxmlformats.org/officeDocument/2006/relationships/hyperlink" Target="https://youtu.be/L-Vm7Vt-F0Q" TargetMode="External"/><Relationship Id="rId650" Type="http://schemas.openxmlformats.org/officeDocument/2006/relationships/hyperlink" Target="https://youtu.be/hZFWwMILyF8" TargetMode="External"/><Relationship Id="rId65" Type="http://schemas.openxmlformats.org/officeDocument/2006/relationships/hyperlink" Target="https://youtu.be/DUWvM46ld3Q" TargetMode="External"/><Relationship Id="rId649" Type="http://schemas.openxmlformats.org/officeDocument/2006/relationships/hyperlink" Target="https://youtu.be/K0iN5Ac46iw" TargetMode="External"/><Relationship Id="rId648" Type="http://schemas.openxmlformats.org/officeDocument/2006/relationships/hyperlink" Target="https://youtu.be/bct3VIhqLYw" TargetMode="External"/><Relationship Id="rId647" Type="http://schemas.openxmlformats.org/officeDocument/2006/relationships/hyperlink" Target="https://youtu.be/_Qienunq0dk" TargetMode="External"/><Relationship Id="rId646" Type="http://schemas.openxmlformats.org/officeDocument/2006/relationships/hyperlink" Target="https://youtu.be/STfb-vYwCkM" TargetMode="External"/><Relationship Id="rId645" Type="http://schemas.openxmlformats.org/officeDocument/2006/relationships/hyperlink" Target="https://youtu.be/4w8NGn6xZiw" TargetMode="External"/><Relationship Id="rId644" Type="http://schemas.openxmlformats.org/officeDocument/2006/relationships/hyperlink" Target="https://youtu.be/fRwj7InhQlI" TargetMode="External"/><Relationship Id="rId643" Type="http://schemas.openxmlformats.org/officeDocument/2006/relationships/hyperlink" Target="https://youtu.be/FKF1D8BFzKU" TargetMode="External"/><Relationship Id="rId642" Type="http://schemas.openxmlformats.org/officeDocument/2006/relationships/hyperlink" Target="https://youtu.be/WCIX1jGvt98" TargetMode="External"/><Relationship Id="rId641" Type="http://schemas.openxmlformats.org/officeDocument/2006/relationships/hyperlink" Target="https://youtu.be/DrJpVeTs5jM" TargetMode="External"/><Relationship Id="rId640" Type="http://schemas.openxmlformats.org/officeDocument/2006/relationships/hyperlink" Target="https://youtu.be/3qW9q3rEK6M" TargetMode="External"/><Relationship Id="rId64" Type="http://schemas.openxmlformats.org/officeDocument/2006/relationships/hyperlink" Target="https://youtu.be/y_3zJaZOe1E" TargetMode="External"/><Relationship Id="rId639" Type="http://schemas.openxmlformats.org/officeDocument/2006/relationships/hyperlink" Target="https://youtu.be/zh5W5cEp_hQ" TargetMode="External"/><Relationship Id="rId638" Type="http://schemas.openxmlformats.org/officeDocument/2006/relationships/hyperlink" Target="https://youtu.be/-RLRf83T4Mo" TargetMode="External"/><Relationship Id="rId637" Type="http://schemas.openxmlformats.org/officeDocument/2006/relationships/hyperlink" Target="https://youtu.be/pUBZPIg5nj0" TargetMode="External"/><Relationship Id="rId636" Type="http://schemas.openxmlformats.org/officeDocument/2006/relationships/hyperlink" Target="https://youtu.be/jAu3_ad7GtI" TargetMode="External"/><Relationship Id="rId635" Type="http://schemas.openxmlformats.org/officeDocument/2006/relationships/hyperlink" Target="https://youtu.be/bTRa1JuwFSw" TargetMode="External"/><Relationship Id="rId634" Type="http://schemas.openxmlformats.org/officeDocument/2006/relationships/hyperlink" Target="https://youtu.be/6a2lLmtxDYA" TargetMode="External"/><Relationship Id="rId633" Type="http://schemas.openxmlformats.org/officeDocument/2006/relationships/hyperlink" Target="https://youtu.be/4boOJo3H5HE" TargetMode="External"/><Relationship Id="rId632" Type="http://schemas.openxmlformats.org/officeDocument/2006/relationships/hyperlink" Target="https://youtu.be/3WDhh4XLyng" TargetMode="External"/><Relationship Id="rId631" Type="http://schemas.openxmlformats.org/officeDocument/2006/relationships/hyperlink" Target="https://youtu.be/5e_TNLem-DU" TargetMode="External"/><Relationship Id="rId630" Type="http://schemas.openxmlformats.org/officeDocument/2006/relationships/hyperlink" Target="https://youtu.be/lDcqMK7S4y0" TargetMode="External"/><Relationship Id="rId63" Type="http://schemas.openxmlformats.org/officeDocument/2006/relationships/hyperlink" Target="https://youtu.be/s-hpDoeHsJg" TargetMode="External"/><Relationship Id="rId629" Type="http://schemas.openxmlformats.org/officeDocument/2006/relationships/hyperlink" Target="https://youtu.be/aPMn_C70VM0" TargetMode="External"/><Relationship Id="rId628" Type="http://schemas.openxmlformats.org/officeDocument/2006/relationships/hyperlink" Target="https://youtu.be/DATel9n1oM4" TargetMode="External"/><Relationship Id="rId627" Type="http://schemas.openxmlformats.org/officeDocument/2006/relationships/hyperlink" Target="https://youtu.be/EiV2fiFhmf4" TargetMode="External"/><Relationship Id="rId626" Type="http://schemas.openxmlformats.org/officeDocument/2006/relationships/hyperlink" Target="https://youtu.be/Tl5dE44vbsM" TargetMode="External"/><Relationship Id="rId625" Type="http://schemas.openxmlformats.org/officeDocument/2006/relationships/hyperlink" Target="https://youtu.be/wh4UB6jEZzs" TargetMode="External"/><Relationship Id="rId624" Type="http://schemas.openxmlformats.org/officeDocument/2006/relationships/hyperlink" Target="https://youtu.be/2C525utItf8" TargetMode="External"/><Relationship Id="rId623" Type="http://schemas.openxmlformats.org/officeDocument/2006/relationships/hyperlink" Target="https://youtu.be/7_aSiC60I6c" TargetMode="External"/><Relationship Id="rId622" Type="http://schemas.openxmlformats.org/officeDocument/2006/relationships/hyperlink" Target="https://youtu.be/2XrSFTwWRHQ" TargetMode="External"/><Relationship Id="rId621" Type="http://schemas.openxmlformats.org/officeDocument/2006/relationships/hyperlink" Target="https://youtu.be/o73TwIUKpPY" TargetMode="External"/><Relationship Id="rId620" Type="http://schemas.openxmlformats.org/officeDocument/2006/relationships/hyperlink" Target="https://youtu.be/8KvF56EAP1I" TargetMode="External"/><Relationship Id="rId62" Type="http://schemas.openxmlformats.org/officeDocument/2006/relationships/hyperlink" Target="https://youtu.be/n9c0kLCFqok" TargetMode="External"/><Relationship Id="rId619" Type="http://schemas.openxmlformats.org/officeDocument/2006/relationships/hyperlink" Target="https://youtu.be/gwRYz2Np1DU" TargetMode="External"/><Relationship Id="rId618" Type="http://schemas.openxmlformats.org/officeDocument/2006/relationships/hyperlink" Target="https://youtu.be/QHpp7nfoECg" TargetMode="External"/><Relationship Id="rId617" Type="http://schemas.openxmlformats.org/officeDocument/2006/relationships/hyperlink" Target="https://youtu.be/-z08EcIFWns" TargetMode="External"/><Relationship Id="rId616" Type="http://schemas.openxmlformats.org/officeDocument/2006/relationships/hyperlink" Target="https://youtu.be/Y5LXs9AfF9g" TargetMode="External"/><Relationship Id="rId615" Type="http://schemas.openxmlformats.org/officeDocument/2006/relationships/hyperlink" Target="https://youtu.be/3UZa1RvOVFU" TargetMode="External"/><Relationship Id="rId614" Type="http://schemas.openxmlformats.org/officeDocument/2006/relationships/hyperlink" Target="https://youtu.be/A_CzxCGM5mU" TargetMode="External"/><Relationship Id="rId613" Type="http://schemas.openxmlformats.org/officeDocument/2006/relationships/hyperlink" Target="https://youtu.be/VNuoOK4bBVg" TargetMode="External"/><Relationship Id="rId612" Type="http://schemas.openxmlformats.org/officeDocument/2006/relationships/hyperlink" Target="https://youtu.be/F96URIjEiXU" TargetMode="External"/><Relationship Id="rId611" Type="http://schemas.openxmlformats.org/officeDocument/2006/relationships/hyperlink" Target="https://youtu.be/6Fj-EjeNuK4" TargetMode="External"/><Relationship Id="rId610" Type="http://schemas.openxmlformats.org/officeDocument/2006/relationships/hyperlink" Target="https://youtu.be/RRsQsOcKy0Y" TargetMode="External"/><Relationship Id="rId61" Type="http://schemas.openxmlformats.org/officeDocument/2006/relationships/hyperlink" Target="https://youtu.be/gheM670jxzQ" TargetMode="External"/><Relationship Id="rId609" Type="http://schemas.openxmlformats.org/officeDocument/2006/relationships/hyperlink" Target="https://youtu.be/jLGQRnZXBl8" TargetMode="External"/><Relationship Id="rId608" Type="http://schemas.openxmlformats.org/officeDocument/2006/relationships/hyperlink" Target="https://youtu.be/CeODP0cZlKI" TargetMode="External"/><Relationship Id="rId607" Type="http://schemas.openxmlformats.org/officeDocument/2006/relationships/hyperlink" Target="https://youtu.be/i4qrkeoJzzo" TargetMode="External"/><Relationship Id="rId606" Type="http://schemas.openxmlformats.org/officeDocument/2006/relationships/hyperlink" Target="https://youtu.be/s7pfiopx-mk" TargetMode="External"/><Relationship Id="rId605" Type="http://schemas.openxmlformats.org/officeDocument/2006/relationships/hyperlink" Target="https://youtu.be/cZo_YJIvQY0" TargetMode="External"/><Relationship Id="rId604" Type="http://schemas.openxmlformats.org/officeDocument/2006/relationships/hyperlink" Target="https://youtu.be/evmi8moXA1w" TargetMode="External"/><Relationship Id="rId603" Type="http://schemas.openxmlformats.org/officeDocument/2006/relationships/hyperlink" Target="https://youtu.be/mbezAsKXhP4" TargetMode="External"/><Relationship Id="rId602" Type="http://schemas.openxmlformats.org/officeDocument/2006/relationships/hyperlink" Target="https://youtu.be/VRZnHlNupAs" TargetMode="External"/><Relationship Id="rId601" Type="http://schemas.openxmlformats.org/officeDocument/2006/relationships/hyperlink" Target="https://youtu.be/a6XtN8xJu4c" TargetMode="External"/><Relationship Id="rId600" Type="http://schemas.openxmlformats.org/officeDocument/2006/relationships/hyperlink" Target="https://youtu.be/EzOHR-ZxJFM" TargetMode="External"/><Relationship Id="rId60" Type="http://schemas.openxmlformats.org/officeDocument/2006/relationships/hyperlink" Target="https://youtu.be/NDZwhtDBICs" TargetMode="External"/><Relationship Id="rId6" Type="http://schemas.openxmlformats.org/officeDocument/2006/relationships/hyperlink" Target="https://youtu.be/07qDIC68wds" TargetMode="External"/><Relationship Id="rId599" Type="http://schemas.openxmlformats.org/officeDocument/2006/relationships/hyperlink" Target="https://youtu.be/xZybdTO4vhQ" TargetMode="External"/><Relationship Id="rId598" Type="http://schemas.openxmlformats.org/officeDocument/2006/relationships/hyperlink" Target="https://youtu.be/b_pdFAGov1k" TargetMode="External"/><Relationship Id="rId597" Type="http://schemas.openxmlformats.org/officeDocument/2006/relationships/hyperlink" Target="https://youtu.be/w-AXR0PZ9FA" TargetMode="External"/><Relationship Id="rId596" Type="http://schemas.openxmlformats.org/officeDocument/2006/relationships/hyperlink" Target="https://youtu.be/NUvYpi-3riY" TargetMode="External"/><Relationship Id="rId595" Type="http://schemas.openxmlformats.org/officeDocument/2006/relationships/hyperlink" Target="https://youtu.be/thuW1S1MN8k" TargetMode="External"/><Relationship Id="rId594" Type="http://schemas.openxmlformats.org/officeDocument/2006/relationships/hyperlink" Target="https://youtu.be/HICi-1pNWl4" TargetMode="External"/><Relationship Id="rId593" Type="http://schemas.openxmlformats.org/officeDocument/2006/relationships/hyperlink" Target="https://youtu.be/d3haTESabYI" TargetMode="External"/><Relationship Id="rId592" Type="http://schemas.openxmlformats.org/officeDocument/2006/relationships/hyperlink" Target="https://youtu.be/xX86z9ESsbU" TargetMode="External"/><Relationship Id="rId591" Type="http://schemas.openxmlformats.org/officeDocument/2006/relationships/hyperlink" Target="https://youtu.be/UVnrb_Z2Wnk" TargetMode="External"/><Relationship Id="rId590" Type="http://schemas.openxmlformats.org/officeDocument/2006/relationships/hyperlink" Target="https://youtu.be/C2dZs0gTyJ4" TargetMode="External"/><Relationship Id="rId59" Type="http://schemas.openxmlformats.org/officeDocument/2006/relationships/hyperlink" Target="https://youtu.be/i5GmYlTCTog" TargetMode="External"/><Relationship Id="rId589" Type="http://schemas.openxmlformats.org/officeDocument/2006/relationships/hyperlink" Target="https://youtu.be/i3FXDgt56Yo" TargetMode="External"/><Relationship Id="rId588" Type="http://schemas.openxmlformats.org/officeDocument/2006/relationships/hyperlink" Target="https://youtu.be/rhBSaWJyLoA" TargetMode="External"/><Relationship Id="rId587" Type="http://schemas.openxmlformats.org/officeDocument/2006/relationships/hyperlink" Target="https://youtu.be/IEMusBb6x6A" TargetMode="External"/><Relationship Id="rId586" Type="http://schemas.openxmlformats.org/officeDocument/2006/relationships/hyperlink" Target="https://youtu.be/dJB9v4cjBLU" TargetMode="External"/><Relationship Id="rId585" Type="http://schemas.openxmlformats.org/officeDocument/2006/relationships/hyperlink" Target="https://youtu.be/B6Q_OXef1Qc" TargetMode="External"/><Relationship Id="rId584" Type="http://schemas.openxmlformats.org/officeDocument/2006/relationships/hyperlink" Target="https://youtu.be/fQskhJ5_aRg" TargetMode="External"/><Relationship Id="rId583" Type="http://schemas.openxmlformats.org/officeDocument/2006/relationships/hyperlink" Target="https://youtu.be/cRLKotcyOKA" TargetMode="External"/><Relationship Id="rId582" Type="http://schemas.openxmlformats.org/officeDocument/2006/relationships/hyperlink" Target="https://youtu.be/kNnVgnQ4zbw" TargetMode="External"/><Relationship Id="rId581" Type="http://schemas.openxmlformats.org/officeDocument/2006/relationships/hyperlink" Target="https://youtu.be/RdWPclPyzis" TargetMode="External"/><Relationship Id="rId580" Type="http://schemas.openxmlformats.org/officeDocument/2006/relationships/hyperlink" Target="https://youtu.be/z_xz-hPNYxk" TargetMode="External"/><Relationship Id="rId58" Type="http://schemas.openxmlformats.org/officeDocument/2006/relationships/hyperlink" Target="https://youtu.be/XxU880W9ioo" TargetMode="External"/><Relationship Id="rId579" Type="http://schemas.openxmlformats.org/officeDocument/2006/relationships/hyperlink" Target="https://youtu.be/q8vpU7ebtnI" TargetMode="External"/><Relationship Id="rId578" Type="http://schemas.openxmlformats.org/officeDocument/2006/relationships/hyperlink" Target="https://youtu.be/zxnGaPBHXRA" TargetMode="External"/><Relationship Id="rId577" Type="http://schemas.openxmlformats.org/officeDocument/2006/relationships/hyperlink" Target="https://youtu.be/kCrCrOC1n9s" TargetMode="External"/><Relationship Id="rId576" Type="http://schemas.openxmlformats.org/officeDocument/2006/relationships/hyperlink" Target="https://youtu.be/V2ww2hFTWSg" TargetMode="External"/><Relationship Id="rId575" Type="http://schemas.openxmlformats.org/officeDocument/2006/relationships/hyperlink" Target="https://youtu.be/Oiexrf3N9w0" TargetMode="External"/><Relationship Id="rId574" Type="http://schemas.openxmlformats.org/officeDocument/2006/relationships/hyperlink" Target="https://youtu.be/BYLt-30a7EU" TargetMode="External"/><Relationship Id="rId573" Type="http://schemas.openxmlformats.org/officeDocument/2006/relationships/hyperlink" Target="https://youtu.be/rXiVsNICHQM" TargetMode="External"/><Relationship Id="rId572" Type="http://schemas.openxmlformats.org/officeDocument/2006/relationships/hyperlink" Target="https://youtu.be/gWC9WTQ2Blc" TargetMode="External"/><Relationship Id="rId571" Type="http://schemas.openxmlformats.org/officeDocument/2006/relationships/hyperlink" Target="https://youtu.be/iduNpPolL_A" TargetMode="External"/><Relationship Id="rId570" Type="http://schemas.openxmlformats.org/officeDocument/2006/relationships/hyperlink" Target="https://youtu.be/nAXkdFcea_g" TargetMode="External"/><Relationship Id="rId57" Type="http://schemas.openxmlformats.org/officeDocument/2006/relationships/hyperlink" Target="https://youtu.be/DviYmK1kSSs" TargetMode="External"/><Relationship Id="rId569" Type="http://schemas.openxmlformats.org/officeDocument/2006/relationships/hyperlink" Target="https://youtu.be/4kasNrV773M" TargetMode="External"/><Relationship Id="rId568" Type="http://schemas.openxmlformats.org/officeDocument/2006/relationships/hyperlink" Target="https://youtu.be/EbTJ1JZAAXM" TargetMode="External"/><Relationship Id="rId567" Type="http://schemas.openxmlformats.org/officeDocument/2006/relationships/hyperlink" Target="https://youtu.be/8NurvN8IhiA" TargetMode="External"/><Relationship Id="rId566" Type="http://schemas.openxmlformats.org/officeDocument/2006/relationships/hyperlink" Target="https://youtu.be/nxClG4fRgeg" TargetMode="External"/><Relationship Id="rId565" Type="http://schemas.openxmlformats.org/officeDocument/2006/relationships/hyperlink" Target="https://youtu.be/Mz93Mr2pggc" TargetMode="External"/><Relationship Id="rId564" Type="http://schemas.openxmlformats.org/officeDocument/2006/relationships/hyperlink" Target="https://youtu.be/Ne9gQVTU8bk" TargetMode="External"/><Relationship Id="rId563" Type="http://schemas.openxmlformats.org/officeDocument/2006/relationships/hyperlink" Target="https://youtu.be/iyudA4h1fo4" TargetMode="External"/><Relationship Id="rId562" Type="http://schemas.openxmlformats.org/officeDocument/2006/relationships/hyperlink" Target="https://youtu.be/od1IyeqcODw" TargetMode="External"/><Relationship Id="rId561" Type="http://schemas.openxmlformats.org/officeDocument/2006/relationships/hyperlink" Target="https://youtu.be/FfLIVGxNhxY" TargetMode="External"/><Relationship Id="rId560" Type="http://schemas.openxmlformats.org/officeDocument/2006/relationships/hyperlink" Target="https://youtu.be/JRQSVXq-F44" TargetMode="External"/><Relationship Id="rId56" Type="http://schemas.openxmlformats.org/officeDocument/2006/relationships/hyperlink" Target="https://youtu.be/2tsKGNx5kP8" TargetMode="External"/><Relationship Id="rId559" Type="http://schemas.openxmlformats.org/officeDocument/2006/relationships/hyperlink" Target="https://youtu.be/y4jY8rI_vm4" TargetMode="External"/><Relationship Id="rId558" Type="http://schemas.openxmlformats.org/officeDocument/2006/relationships/hyperlink" Target="https://youtu.be/WJEBW7QFgwc" TargetMode="External"/><Relationship Id="rId557" Type="http://schemas.openxmlformats.org/officeDocument/2006/relationships/hyperlink" Target="https://youtu.be/Zw_mrx016cc" TargetMode="External"/><Relationship Id="rId556" Type="http://schemas.openxmlformats.org/officeDocument/2006/relationships/hyperlink" Target="https://youtu.be/RKJ806z423g" TargetMode="External"/><Relationship Id="rId555" Type="http://schemas.openxmlformats.org/officeDocument/2006/relationships/hyperlink" Target="https://youtu.be/-jcufWFosXM" TargetMode="External"/><Relationship Id="rId554" Type="http://schemas.openxmlformats.org/officeDocument/2006/relationships/hyperlink" Target="https://youtu.be/AHJA54Vq4zg" TargetMode="External"/><Relationship Id="rId553" Type="http://schemas.openxmlformats.org/officeDocument/2006/relationships/hyperlink" Target="https://youtu.be/2eZyUuYvBUo" TargetMode="External"/><Relationship Id="rId552" Type="http://schemas.openxmlformats.org/officeDocument/2006/relationships/hyperlink" Target="https://youtu.be/Rb4hNayHd9M" TargetMode="External"/><Relationship Id="rId551" Type="http://schemas.openxmlformats.org/officeDocument/2006/relationships/hyperlink" Target="https://youtu.be/412fAEw1NTo" TargetMode="External"/><Relationship Id="rId550" Type="http://schemas.openxmlformats.org/officeDocument/2006/relationships/hyperlink" Target="https://youtu.be/3MOtjgFfAo4" TargetMode="External"/><Relationship Id="rId55" Type="http://schemas.openxmlformats.org/officeDocument/2006/relationships/hyperlink" Target="https://youtu.be/CMKP9O5ZI84" TargetMode="External"/><Relationship Id="rId549" Type="http://schemas.openxmlformats.org/officeDocument/2006/relationships/hyperlink" Target="https://youtu.be/wo-iDcad_LM" TargetMode="External"/><Relationship Id="rId548" Type="http://schemas.openxmlformats.org/officeDocument/2006/relationships/hyperlink" Target="https://youtu.be/wBCBThgIBmA" TargetMode="External"/><Relationship Id="rId547" Type="http://schemas.openxmlformats.org/officeDocument/2006/relationships/hyperlink" Target="https://youtu.be/R8V40NgJnEs" TargetMode="External"/><Relationship Id="rId546" Type="http://schemas.openxmlformats.org/officeDocument/2006/relationships/hyperlink" Target="https://youtu.be/EswMsWT_1YI" TargetMode="External"/><Relationship Id="rId545" Type="http://schemas.openxmlformats.org/officeDocument/2006/relationships/hyperlink" Target="https://youtu.be/IxePMPZNUW4" TargetMode="External"/><Relationship Id="rId544" Type="http://schemas.openxmlformats.org/officeDocument/2006/relationships/hyperlink" Target="https://youtu.be/ncUelhK7DmI" TargetMode="External"/><Relationship Id="rId543" Type="http://schemas.openxmlformats.org/officeDocument/2006/relationships/hyperlink" Target="https://youtu.be/U3tNa0sxmu0" TargetMode="External"/><Relationship Id="rId542" Type="http://schemas.openxmlformats.org/officeDocument/2006/relationships/hyperlink" Target="https://youtu.be/siD4mNuTL-8" TargetMode="External"/><Relationship Id="rId541" Type="http://schemas.openxmlformats.org/officeDocument/2006/relationships/hyperlink" Target="https://youtu.be/YKVhjdWitsg" TargetMode="External"/><Relationship Id="rId540" Type="http://schemas.openxmlformats.org/officeDocument/2006/relationships/hyperlink" Target="https://youtu.be/VONBwpYci64" TargetMode="External"/><Relationship Id="rId54" Type="http://schemas.openxmlformats.org/officeDocument/2006/relationships/hyperlink" Target="https://youtu.be/1dw9gHzD1KI" TargetMode="External"/><Relationship Id="rId539" Type="http://schemas.openxmlformats.org/officeDocument/2006/relationships/hyperlink" Target="https://youtu.be/CxLxfaxjq5Y" TargetMode="External"/><Relationship Id="rId538" Type="http://schemas.openxmlformats.org/officeDocument/2006/relationships/hyperlink" Target="https://youtu.be/xBSLW0VTr4M" TargetMode="External"/><Relationship Id="rId537" Type="http://schemas.openxmlformats.org/officeDocument/2006/relationships/hyperlink" Target="https://youtu.be/VKQ-6WCbHis" TargetMode="External"/><Relationship Id="rId536" Type="http://schemas.openxmlformats.org/officeDocument/2006/relationships/hyperlink" Target="https://youtu.be/WKLlI3ndF2s" TargetMode="External"/><Relationship Id="rId535" Type="http://schemas.openxmlformats.org/officeDocument/2006/relationships/hyperlink" Target="https://youtu.be/9ybr-x2ldPk" TargetMode="External"/><Relationship Id="rId534" Type="http://schemas.openxmlformats.org/officeDocument/2006/relationships/hyperlink" Target="https://youtu.be/NisclMyoAkM" TargetMode="External"/><Relationship Id="rId533" Type="http://schemas.openxmlformats.org/officeDocument/2006/relationships/hyperlink" Target="https://youtu.be/DgpwocZjg7w" TargetMode="External"/><Relationship Id="rId532" Type="http://schemas.openxmlformats.org/officeDocument/2006/relationships/hyperlink" Target="https://youtu.be/9rkv4oq53OE" TargetMode="External"/><Relationship Id="rId531" Type="http://schemas.openxmlformats.org/officeDocument/2006/relationships/hyperlink" Target="https://youtu.be/vY8d6vQ6rhY" TargetMode="External"/><Relationship Id="rId530" Type="http://schemas.openxmlformats.org/officeDocument/2006/relationships/hyperlink" Target="https://youtu.be/sji3K7e4GHA" TargetMode="External"/><Relationship Id="rId53" Type="http://schemas.openxmlformats.org/officeDocument/2006/relationships/hyperlink" Target="https://youtu.be/TSHGHIXzxEM" TargetMode="External"/><Relationship Id="rId529" Type="http://schemas.openxmlformats.org/officeDocument/2006/relationships/hyperlink" Target="https://youtu.be/fXcgsT6hddM" TargetMode="External"/><Relationship Id="rId528" Type="http://schemas.openxmlformats.org/officeDocument/2006/relationships/hyperlink" Target="https://youtu.be/9matDigB2w4" TargetMode="External"/><Relationship Id="rId527" Type="http://schemas.openxmlformats.org/officeDocument/2006/relationships/hyperlink" Target="https://youtu.be/7_Api3f49LE" TargetMode="External"/><Relationship Id="rId526" Type="http://schemas.openxmlformats.org/officeDocument/2006/relationships/hyperlink" Target="https://youtu.be/UafcXBa5v6s" TargetMode="External"/><Relationship Id="rId525" Type="http://schemas.openxmlformats.org/officeDocument/2006/relationships/hyperlink" Target="https://youtu.be/W-X8x8gavow" TargetMode="External"/><Relationship Id="rId524" Type="http://schemas.openxmlformats.org/officeDocument/2006/relationships/hyperlink" Target="https://youtu.be/fhNN9NzU014" TargetMode="External"/><Relationship Id="rId523" Type="http://schemas.openxmlformats.org/officeDocument/2006/relationships/hyperlink" Target="https://youtu.be/qnGVXoP1tZM" TargetMode="External"/><Relationship Id="rId522" Type="http://schemas.openxmlformats.org/officeDocument/2006/relationships/hyperlink" Target="https://youtu.be/JM-ufe7ryec" TargetMode="External"/><Relationship Id="rId521" Type="http://schemas.openxmlformats.org/officeDocument/2006/relationships/hyperlink" Target="https://youtu.be/jCn3hu5XmD0" TargetMode="External"/><Relationship Id="rId520" Type="http://schemas.openxmlformats.org/officeDocument/2006/relationships/hyperlink" Target="https://youtu.be/_fSYXzvcm5Y" TargetMode="External"/><Relationship Id="rId52" Type="http://schemas.openxmlformats.org/officeDocument/2006/relationships/hyperlink" Target="https://youtu.be/zA8hzms2UYY" TargetMode="External"/><Relationship Id="rId519" Type="http://schemas.openxmlformats.org/officeDocument/2006/relationships/hyperlink" Target="https://youtu.be/5Y_-O22a8dg" TargetMode="External"/><Relationship Id="rId518" Type="http://schemas.openxmlformats.org/officeDocument/2006/relationships/hyperlink" Target="https://youtu.be/kegheqHNmAA" TargetMode="External"/><Relationship Id="rId517" Type="http://schemas.openxmlformats.org/officeDocument/2006/relationships/hyperlink" Target="https://youtu.be/H9CogxbDncA" TargetMode="External"/><Relationship Id="rId516" Type="http://schemas.openxmlformats.org/officeDocument/2006/relationships/hyperlink" Target="https://youtu.be/MifM-RIraYI" TargetMode="External"/><Relationship Id="rId515" Type="http://schemas.openxmlformats.org/officeDocument/2006/relationships/hyperlink" Target="https://youtu.be/bKwCf5TRZ4Y" TargetMode="External"/><Relationship Id="rId514" Type="http://schemas.openxmlformats.org/officeDocument/2006/relationships/hyperlink" Target="https://youtu.be/PFXECernqgk" TargetMode="External"/><Relationship Id="rId513" Type="http://schemas.openxmlformats.org/officeDocument/2006/relationships/hyperlink" Target="https://youtu.be/rItcUiPmh_Q" TargetMode="External"/><Relationship Id="rId512" Type="http://schemas.openxmlformats.org/officeDocument/2006/relationships/hyperlink" Target="https://youtu.be/rfMvVRTxTZI" TargetMode="External"/><Relationship Id="rId511" Type="http://schemas.openxmlformats.org/officeDocument/2006/relationships/hyperlink" Target="https://youtu.be/tv7feLPTqeU" TargetMode="External"/><Relationship Id="rId510" Type="http://schemas.openxmlformats.org/officeDocument/2006/relationships/hyperlink" Target="https://youtu.be/at1prA_jbtw" TargetMode="External"/><Relationship Id="rId51" Type="http://schemas.openxmlformats.org/officeDocument/2006/relationships/hyperlink" Target="https://youtu.be/X11CKvSHks0" TargetMode="External"/><Relationship Id="rId509" Type="http://schemas.openxmlformats.org/officeDocument/2006/relationships/hyperlink" Target="https://youtu.be/rVqaocXISYY" TargetMode="External"/><Relationship Id="rId508" Type="http://schemas.openxmlformats.org/officeDocument/2006/relationships/hyperlink" Target="https://youtu.be/JSgNtjoOc4Y" TargetMode="External"/><Relationship Id="rId507" Type="http://schemas.openxmlformats.org/officeDocument/2006/relationships/hyperlink" Target="https://youtu.be/SQYARopfKX8" TargetMode="External"/><Relationship Id="rId506" Type="http://schemas.openxmlformats.org/officeDocument/2006/relationships/hyperlink" Target="https://youtu.be/z-0M3h_saiA" TargetMode="External"/><Relationship Id="rId505" Type="http://schemas.openxmlformats.org/officeDocument/2006/relationships/hyperlink" Target="https://youtu.be/N2mLnwayX00" TargetMode="External"/><Relationship Id="rId504" Type="http://schemas.openxmlformats.org/officeDocument/2006/relationships/hyperlink" Target="https://youtu.be/Pm0k8kaAUBo" TargetMode="External"/><Relationship Id="rId503" Type="http://schemas.openxmlformats.org/officeDocument/2006/relationships/hyperlink" Target="https://youtu.be/zhdC4wocAwM" TargetMode="External"/><Relationship Id="rId502" Type="http://schemas.openxmlformats.org/officeDocument/2006/relationships/hyperlink" Target="https://youtu.be/gvI9KNVd-nU" TargetMode="External"/><Relationship Id="rId501" Type="http://schemas.openxmlformats.org/officeDocument/2006/relationships/hyperlink" Target="https://youtu.be/MMBmXdZgS8E" TargetMode="External"/><Relationship Id="rId500" Type="http://schemas.openxmlformats.org/officeDocument/2006/relationships/hyperlink" Target="https://youtu.be/9IC1Io5xkbc" TargetMode="External"/><Relationship Id="rId50" Type="http://schemas.openxmlformats.org/officeDocument/2006/relationships/hyperlink" Target="https://youtu.be/PHOBxVzCFVo" TargetMode="External"/><Relationship Id="rId5" Type="http://schemas.openxmlformats.org/officeDocument/2006/relationships/hyperlink" Target="https://youtu.be/AXGGQdw-zzA" TargetMode="External"/><Relationship Id="rId499" Type="http://schemas.openxmlformats.org/officeDocument/2006/relationships/hyperlink" Target="https://youtu.be/1dm4WUx7z1A" TargetMode="External"/><Relationship Id="rId498" Type="http://schemas.openxmlformats.org/officeDocument/2006/relationships/hyperlink" Target="https://youtu.be/AWAP4hXe3cY" TargetMode="External"/><Relationship Id="rId497" Type="http://schemas.openxmlformats.org/officeDocument/2006/relationships/hyperlink" Target="https://youtu.be/RU6QkU8w60c" TargetMode="External"/><Relationship Id="rId496" Type="http://schemas.openxmlformats.org/officeDocument/2006/relationships/hyperlink" Target="https://youtu.be/u9xzuOgs9-4" TargetMode="External"/><Relationship Id="rId495" Type="http://schemas.openxmlformats.org/officeDocument/2006/relationships/hyperlink" Target="https://youtu.be/zrBTu389aqY" TargetMode="External"/><Relationship Id="rId494" Type="http://schemas.openxmlformats.org/officeDocument/2006/relationships/hyperlink" Target="https://youtu.be/dlRg2JKCVRo" TargetMode="External"/><Relationship Id="rId493" Type="http://schemas.openxmlformats.org/officeDocument/2006/relationships/hyperlink" Target="https://youtu.be/kY1cZl0bZl4" TargetMode="External"/><Relationship Id="rId492" Type="http://schemas.openxmlformats.org/officeDocument/2006/relationships/hyperlink" Target="https://youtu.be/y7r968V7RBE" TargetMode="External"/><Relationship Id="rId491" Type="http://schemas.openxmlformats.org/officeDocument/2006/relationships/hyperlink" Target="https://youtu.be/W5g9FSri6mA" TargetMode="External"/><Relationship Id="rId490" Type="http://schemas.openxmlformats.org/officeDocument/2006/relationships/hyperlink" Target="https://youtu.be/vwbOFkPuqhM" TargetMode="External"/><Relationship Id="rId49" Type="http://schemas.openxmlformats.org/officeDocument/2006/relationships/hyperlink" Target="https://youtu.be/PC_NsLXHo6c" TargetMode="External"/><Relationship Id="rId489" Type="http://schemas.openxmlformats.org/officeDocument/2006/relationships/hyperlink" Target="https://youtu.be/aoU5P2SSCho" TargetMode="External"/><Relationship Id="rId488" Type="http://schemas.openxmlformats.org/officeDocument/2006/relationships/hyperlink" Target="https://youtu.be/Tc0-Hhmgmm0" TargetMode="External"/><Relationship Id="rId487" Type="http://schemas.openxmlformats.org/officeDocument/2006/relationships/hyperlink" Target="https://youtu.be/Kr78OOr2sCc" TargetMode="External"/><Relationship Id="rId486" Type="http://schemas.openxmlformats.org/officeDocument/2006/relationships/hyperlink" Target="https://youtu.be/HTtj3m5hIwE" TargetMode="External"/><Relationship Id="rId485" Type="http://schemas.openxmlformats.org/officeDocument/2006/relationships/hyperlink" Target="https://youtu.be/JAVX1ia7mEI" TargetMode="External"/><Relationship Id="rId484" Type="http://schemas.openxmlformats.org/officeDocument/2006/relationships/hyperlink" Target="https://youtu.be/NJbcJ5kSlCg" TargetMode="External"/><Relationship Id="rId483" Type="http://schemas.openxmlformats.org/officeDocument/2006/relationships/hyperlink" Target="https://youtu.be/gpouNl1sgqA" TargetMode="External"/><Relationship Id="rId482" Type="http://schemas.openxmlformats.org/officeDocument/2006/relationships/hyperlink" Target="https://youtu.be/GEayXUlUars" TargetMode="External"/><Relationship Id="rId481" Type="http://schemas.openxmlformats.org/officeDocument/2006/relationships/hyperlink" Target="https://youtu.be/OXLmshN0V1M" TargetMode="External"/><Relationship Id="rId480" Type="http://schemas.openxmlformats.org/officeDocument/2006/relationships/hyperlink" Target="https://youtu.be/igyU-7U1-mk" TargetMode="External"/><Relationship Id="rId48" Type="http://schemas.openxmlformats.org/officeDocument/2006/relationships/hyperlink" Target="https://youtu.be/4In3exHN5V8" TargetMode="External"/><Relationship Id="rId479" Type="http://schemas.openxmlformats.org/officeDocument/2006/relationships/hyperlink" Target="https://youtu.be/fuT-dOUuN9Q" TargetMode="External"/><Relationship Id="rId478" Type="http://schemas.openxmlformats.org/officeDocument/2006/relationships/hyperlink" Target="https://youtu.be/vwoq-4Ys46Y" TargetMode="External"/><Relationship Id="rId477" Type="http://schemas.openxmlformats.org/officeDocument/2006/relationships/hyperlink" Target="https://youtu.be/Y0Vs_nrPZK8" TargetMode="External"/><Relationship Id="rId476" Type="http://schemas.openxmlformats.org/officeDocument/2006/relationships/hyperlink" Target="https://youtu.be/grfJgdiD1aM" TargetMode="External"/><Relationship Id="rId475" Type="http://schemas.openxmlformats.org/officeDocument/2006/relationships/hyperlink" Target="https://youtu.be/Yif4iu4QDNI" TargetMode="External"/><Relationship Id="rId474" Type="http://schemas.openxmlformats.org/officeDocument/2006/relationships/hyperlink" Target="https://youtu.be/iVAZZsUbw7M" TargetMode="External"/><Relationship Id="rId473" Type="http://schemas.openxmlformats.org/officeDocument/2006/relationships/hyperlink" Target="https://youtu.be/tTjKSDuF5r4" TargetMode="External"/><Relationship Id="rId472" Type="http://schemas.openxmlformats.org/officeDocument/2006/relationships/hyperlink" Target="https://youtu.be/zcZ-KRfLK38" TargetMode="External"/><Relationship Id="rId471" Type="http://schemas.openxmlformats.org/officeDocument/2006/relationships/hyperlink" Target="https://youtu.be/FCVJWNbhb14" TargetMode="External"/><Relationship Id="rId470" Type="http://schemas.openxmlformats.org/officeDocument/2006/relationships/hyperlink" Target="https://youtu.be/B5_zODAGx14" TargetMode="External"/><Relationship Id="rId47" Type="http://schemas.openxmlformats.org/officeDocument/2006/relationships/hyperlink" Target="https://youtu.be/YoG0nRbJdkY" TargetMode="External"/><Relationship Id="rId469" Type="http://schemas.openxmlformats.org/officeDocument/2006/relationships/hyperlink" Target="https://youtu.be/xem0tM3Fl7I" TargetMode="External"/><Relationship Id="rId468" Type="http://schemas.openxmlformats.org/officeDocument/2006/relationships/hyperlink" Target="https://youtu.be/5qrUVh-Xev8" TargetMode="External"/><Relationship Id="rId467" Type="http://schemas.openxmlformats.org/officeDocument/2006/relationships/hyperlink" Target="https://youtu.be/618gaC7S_Xg" TargetMode="External"/><Relationship Id="rId466" Type="http://schemas.openxmlformats.org/officeDocument/2006/relationships/hyperlink" Target="https://youtu.be/ZCk5sLrEAJA" TargetMode="External"/><Relationship Id="rId465" Type="http://schemas.openxmlformats.org/officeDocument/2006/relationships/hyperlink" Target="https://youtu.be/37OeHMr9yPg" TargetMode="External"/><Relationship Id="rId464" Type="http://schemas.openxmlformats.org/officeDocument/2006/relationships/hyperlink" Target="https://youtu.be/ypK5m8EwSqo" TargetMode="External"/><Relationship Id="rId463" Type="http://schemas.openxmlformats.org/officeDocument/2006/relationships/hyperlink" Target="https://youtu.be/0YXq-aDsZQs" TargetMode="External"/><Relationship Id="rId462" Type="http://schemas.openxmlformats.org/officeDocument/2006/relationships/hyperlink" Target="https://youtu.be/8dtd85YKkAs" TargetMode="External"/><Relationship Id="rId461" Type="http://schemas.openxmlformats.org/officeDocument/2006/relationships/hyperlink" Target="https://youtu.be/uUwGGAIXxpg" TargetMode="External"/><Relationship Id="rId460" Type="http://schemas.openxmlformats.org/officeDocument/2006/relationships/hyperlink" Target="https://youtu.be/HFVXgl4SKz4" TargetMode="External"/><Relationship Id="rId46" Type="http://schemas.openxmlformats.org/officeDocument/2006/relationships/hyperlink" Target="https://youtu.be/I5CNP-JXJjM" TargetMode="External"/><Relationship Id="rId459" Type="http://schemas.openxmlformats.org/officeDocument/2006/relationships/hyperlink" Target="https://youtu.be/WP-1JgYvxLI" TargetMode="External"/><Relationship Id="rId458" Type="http://schemas.openxmlformats.org/officeDocument/2006/relationships/hyperlink" Target="https://youtu.be/PpQypUuVBL8" TargetMode="External"/><Relationship Id="rId457" Type="http://schemas.openxmlformats.org/officeDocument/2006/relationships/hyperlink" Target="https://youtu.be/iV3JcebcsJM" TargetMode="External"/><Relationship Id="rId456" Type="http://schemas.openxmlformats.org/officeDocument/2006/relationships/hyperlink" Target="https://youtu.be/nrjdAoXgb-M" TargetMode="External"/><Relationship Id="rId455" Type="http://schemas.openxmlformats.org/officeDocument/2006/relationships/hyperlink" Target="https://youtu.be/S42s1s3U77A" TargetMode="External"/><Relationship Id="rId454" Type="http://schemas.openxmlformats.org/officeDocument/2006/relationships/hyperlink" Target="https://youtu.be/-Rp1As2v63Y" TargetMode="External"/><Relationship Id="rId453" Type="http://schemas.openxmlformats.org/officeDocument/2006/relationships/hyperlink" Target="https://youtu.be/ApG9abfohW4" TargetMode="External"/><Relationship Id="rId452" Type="http://schemas.openxmlformats.org/officeDocument/2006/relationships/hyperlink" Target="https://youtu.be/0EJqfWMuOAQ" TargetMode="External"/><Relationship Id="rId451" Type="http://schemas.openxmlformats.org/officeDocument/2006/relationships/hyperlink" Target="https://youtu.be/6VgtqBsQsdQ" TargetMode="External"/><Relationship Id="rId450" Type="http://schemas.openxmlformats.org/officeDocument/2006/relationships/hyperlink" Target="https://youtu.be/58_WKnjqYOo" TargetMode="External"/><Relationship Id="rId45" Type="http://schemas.openxmlformats.org/officeDocument/2006/relationships/hyperlink" Target="https://youtu.be/9Gn4LyWtQwg" TargetMode="External"/><Relationship Id="rId449" Type="http://schemas.openxmlformats.org/officeDocument/2006/relationships/hyperlink" Target="https://youtu.be/8OqyWz5iVF0" TargetMode="External"/><Relationship Id="rId448" Type="http://schemas.openxmlformats.org/officeDocument/2006/relationships/hyperlink" Target="https://youtu.be/v6NiVc4qbxI" TargetMode="External"/><Relationship Id="rId447" Type="http://schemas.openxmlformats.org/officeDocument/2006/relationships/hyperlink" Target="https://youtu.be/7JRmqth1MQM" TargetMode="External"/><Relationship Id="rId446" Type="http://schemas.openxmlformats.org/officeDocument/2006/relationships/hyperlink" Target="https://youtu.be/_gN00Rfof8k" TargetMode="External"/><Relationship Id="rId445" Type="http://schemas.openxmlformats.org/officeDocument/2006/relationships/hyperlink" Target="https://youtu.be/qNhXhov8zkk" TargetMode="External"/><Relationship Id="rId444" Type="http://schemas.openxmlformats.org/officeDocument/2006/relationships/hyperlink" Target="https://youtu.be/T7Iu_yXtbPQ" TargetMode="External"/><Relationship Id="rId443" Type="http://schemas.openxmlformats.org/officeDocument/2006/relationships/hyperlink" Target="https://youtu.be/2Pyd_ZfpxsA" TargetMode="External"/><Relationship Id="rId442" Type="http://schemas.openxmlformats.org/officeDocument/2006/relationships/hyperlink" Target="https://youtu.be/d8I3PnPljeE" TargetMode="External"/><Relationship Id="rId441" Type="http://schemas.openxmlformats.org/officeDocument/2006/relationships/hyperlink" Target="https://youtu.be/MrnIY-q0x70" TargetMode="External"/><Relationship Id="rId440" Type="http://schemas.openxmlformats.org/officeDocument/2006/relationships/hyperlink" Target="https://youtu.be/GrLRalLdMbw" TargetMode="External"/><Relationship Id="rId44" Type="http://schemas.openxmlformats.org/officeDocument/2006/relationships/hyperlink" Target="https://youtu.be/B1CmzK2AcQQ" TargetMode="External"/><Relationship Id="rId439" Type="http://schemas.openxmlformats.org/officeDocument/2006/relationships/hyperlink" Target="https://youtu.be/9GwU8O8wfpQ" TargetMode="External"/><Relationship Id="rId438" Type="http://schemas.openxmlformats.org/officeDocument/2006/relationships/hyperlink" Target="https://youtu.be/UemJoUu6pyc" TargetMode="External"/><Relationship Id="rId437" Type="http://schemas.openxmlformats.org/officeDocument/2006/relationships/hyperlink" Target="https://youtu.be/6Y1N37rciGk" TargetMode="External"/><Relationship Id="rId436" Type="http://schemas.openxmlformats.org/officeDocument/2006/relationships/hyperlink" Target="https://youtu.be/4fv12NUZhd0" TargetMode="External"/><Relationship Id="rId435" Type="http://schemas.openxmlformats.org/officeDocument/2006/relationships/hyperlink" Target="https://youtu.be/nBXuIUTiKTE" TargetMode="External"/><Relationship Id="rId434" Type="http://schemas.openxmlformats.org/officeDocument/2006/relationships/hyperlink" Target="https://youtu.be/m9-QlQTou9U" TargetMode="External"/><Relationship Id="rId433" Type="http://schemas.openxmlformats.org/officeDocument/2006/relationships/hyperlink" Target="https://youtu.be/Q5aT0BLbgMQ" TargetMode="External"/><Relationship Id="rId432" Type="http://schemas.openxmlformats.org/officeDocument/2006/relationships/hyperlink" Target="https://youtu.be/cNKaM7KVj7Q" TargetMode="External"/><Relationship Id="rId431" Type="http://schemas.openxmlformats.org/officeDocument/2006/relationships/hyperlink" Target="https://youtu.be/SBj2KsnAKb4" TargetMode="External"/><Relationship Id="rId430" Type="http://schemas.openxmlformats.org/officeDocument/2006/relationships/hyperlink" Target="https://youtu.be/crjBOXPN9FY" TargetMode="External"/><Relationship Id="rId43" Type="http://schemas.openxmlformats.org/officeDocument/2006/relationships/hyperlink" Target="https://youtu.be/LEMWJM-sySY" TargetMode="External"/><Relationship Id="rId429" Type="http://schemas.openxmlformats.org/officeDocument/2006/relationships/hyperlink" Target="https://youtu.be/Jn5JaJRHwbQ" TargetMode="External"/><Relationship Id="rId428" Type="http://schemas.openxmlformats.org/officeDocument/2006/relationships/hyperlink" Target="https://youtu.be/4n4mW2lzaJE" TargetMode="External"/><Relationship Id="rId427" Type="http://schemas.openxmlformats.org/officeDocument/2006/relationships/hyperlink" Target="https://youtu.be/elBjfTppqlw" TargetMode="External"/><Relationship Id="rId426" Type="http://schemas.openxmlformats.org/officeDocument/2006/relationships/hyperlink" Target="https://youtu.be/Y8zChtFl4Bc" TargetMode="External"/><Relationship Id="rId425" Type="http://schemas.openxmlformats.org/officeDocument/2006/relationships/hyperlink" Target="https://youtu.be/4IaAyfM9cdE" TargetMode="External"/><Relationship Id="rId424" Type="http://schemas.openxmlformats.org/officeDocument/2006/relationships/hyperlink" Target="https://youtu.be/Qt2mBaZnhyU" TargetMode="External"/><Relationship Id="rId423" Type="http://schemas.openxmlformats.org/officeDocument/2006/relationships/hyperlink" Target="https://youtu.be/CZQ1RQcb7E8" TargetMode="External"/><Relationship Id="rId422" Type="http://schemas.openxmlformats.org/officeDocument/2006/relationships/hyperlink" Target="https://youtu.be/UGosxzELR4Y" TargetMode="External"/><Relationship Id="rId421" Type="http://schemas.openxmlformats.org/officeDocument/2006/relationships/hyperlink" Target="https://youtu.be/QBxLnu_ORRQ" TargetMode="External"/><Relationship Id="rId420" Type="http://schemas.openxmlformats.org/officeDocument/2006/relationships/hyperlink" Target="https://youtu.be/wS_rrISakwM" TargetMode="External"/><Relationship Id="rId42" Type="http://schemas.openxmlformats.org/officeDocument/2006/relationships/hyperlink" Target="https://youtu.be/m1WmaRrAvfU" TargetMode="External"/><Relationship Id="rId419" Type="http://schemas.openxmlformats.org/officeDocument/2006/relationships/hyperlink" Target="https://youtu.be/iE1BoaqJ3sc" TargetMode="External"/><Relationship Id="rId418" Type="http://schemas.openxmlformats.org/officeDocument/2006/relationships/hyperlink" Target="https://youtu.be/YxOpu4vjCO0" TargetMode="External"/><Relationship Id="rId417" Type="http://schemas.openxmlformats.org/officeDocument/2006/relationships/hyperlink" Target="https://youtu.be/p2Jwm56S8uk" TargetMode="External"/><Relationship Id="rId416" Type="http://schemas.openxmlformats.org/officeDocument/2006/relationships/hyperlink" Target="https://youtu.be/0ZvbB2PhSnY" TargetMode="External"/><Relationship Id="rId415" Type="http://schemas.openxmlformats.org/officeDocument/2006/relationships/hyperlink" Target="https://youtu.be/kfbIQAPw33c" TargetMode="External"/><Relationship Id="rId414" Type="http://schemas.openxmlformats.org/officeDocument/2006/relationships/hyperlink" Target="https://youtu.be/7vh17Z683Mg" TargetMode="External"/><Relationship Id="rId413" Type="http://schemas.openxmlformats.org/officeDocument/2006/relationships/hyperlink" Target="https://youtu.be/ppNFTk-XNxY" TargetMode="External"/><Relationship Id="rId412" Type="http://schemas.openxmlformats.org/officeDocument/2006/relationships/hyperlink" Target="https://youtu.be/LcBdovHgwaE" TargetMode="External"/><Relationship Id="rId411" Type="http://schemas.openxmlformats.org/officeDocument/2006/relationships/hyperlink" Target="https://youtu.be/NP-aQNZCHrE" TargetMode="External"/><Relationship Id="rId410" Type="http://schemas.openxmlformats.org/officeDocument/2006/relationships/hyperlink" Target="https://youtu.be/nTyK2OiRmN8" TargetMode="External"/><Relationship Id="rId41" Type="http://schemas.openxmlformats.org/officeDocument/2006/relationships/hyperlink" Target="https://youtu.be/oP92I9-5u3k" TargetMode="External"/><Relationship Id="rId409" Type="http://schemas.openxmlformats.org/officeDocument/2006/relationships/hyperlink" Target="https://youtu.be/bYuxNoSMZ2w" TargetMode="External"/><Relationship Id="rId408" Type="http://schemas.openxmlformats.org/officeDocument/2006/relationships/hyperlink" Target="https://youtu.be/Cx8Dd9YQmm4" TargetMode="External"/><Relationship Id="rId407" Type="http://schemas.openxmlformats.org/officeDocument/2006/relationships/hyperlink" Target="https://youtu.be/nG_SHTY_zdY" TargetMode="External"/><Relationship Id="rId406" Type="http://schemas.openxmlformats.org/officeDocument/2006/relationships/hyperlink" Target="https://youtu.be/wRiS_rhYZro" TargetMode="External"/><Relationship Id="rId405" Type="http://schemas.openxmlformats.org/officeDocument/2006/relationships/hyperlink" Target="https://youtu.be/GYIkDBebyvg" TargetMode="External"/><Relationship Id="rId404" Type="http://schemas.openxmlformats.org/officeDocument/2006/relationships/hyperlink" Target="https://youtu.be/wj-bLgOhAaM" TargetMode="External"/><Relationship Id="rId403" Type="http://schemas.openxmlformats.org/officeDocument/2006/relationships/hyperlink" Target="https://youtu.be/mP697nB5DzE" TargetMode="External"/><Relationship Id="rId402" Type="http://schemas.openxmlformats.org/officeDocument/2006/relationships/hyperlink" Target="https://youtu.be/2VPdLydFGwk" TargetMode="External"/><Relationship Id="rId401" Type="http://schemas.openxmlformats.org/officeDocument/2006/relationships/hyperlink" Target="https://youtu.be/aEpY0dF0hUA" TargetMode="External"/><Relationship Id="rId400" Type="http://schemas.openxmlformats.org/officeDocument/2006/relationships/hyperlink" Target="https://youtu.be/LAaIxR1zwvc" TargetMode="External"/><Relationship Id="rId40" Type="http://schemas.openxmlformats.org/officeDocument/2006/relationships/hyperlink" Target="https://youtu.be/eKTHNm1X7Fo" TargetMode="External"/><Relationship Id="rId4" Type="http://schemas.openxmlformats.org/officeDocument/2006/relationships/hyperlink" Target="https://youtu.be/7k8hexcqz_M" TargetMode="External"/><Relationship Id="rId399" Type="http://schemas.openxmlformats.org/officeDocument/2006/relationships/hyperlink" Target="https://youtu.be/g5tWIbOnwYY" TargetMode="External"/><Relationship Id="rId398" Type="http://schemas.openxmlformats.org/officeDocument/2006/relationships/hyperlink" Target="https://youtu.be/bim4HgqKC2M" TargetMode="External"/><Relationship Id="rId397" Type="http://schemas.openxmlformats.org/officeDocument/2006/relationships/hyperlink" Target="https://youtu.be/fUJQ1tXyTPs" TargetMode="External"/><Relationship Id="rId396" Type="http://schemas.openxmlformats.org/officeDocument/2006/relationships/hyperlink" Target="https://youtu.be/7GAFn4JzyO0" TargetMode="External"/><Relationship Id="rId395" Type="http://schemas.openxmlformats.org/officeDocument/2006/relationships/hyperlink" Target="https://youtu.be/enDHztdUpeY" TargetMode="External"/><Relationship Id="rId394" Type="http://schemas.openxmlformats.org/officeDocument/2006/relationships/hyperlink" Target="https://youtu.be/dDMxBg4RWko" TargetMode="External"/><Relationship Id="rId393" Type="http://schemas.openxmlformats.org/officeDocument/2006/relationships/hyperlink" Target="https://youtu.be/ugxbcl17VpY" TargetMode="External"/><Relationship Id="rId392" Type="http://schemas.openxmlformats.org/officeDocument/2006/relationships/hyperlink" Target="https://youtu.be/t9h88z8Sxr8" TargetMode="External"/><Relationship Id="rId391" Type="http://schemas.openxmlformats.org/officeDocument/2006/relationships/hyperlink" Target="https://youtu.be/GRsrUvgPnvA" TargetMode="External"/><Relationship Id="rId390" Type="http://schemas.openxmlformats.org/officeDocument/2006/relationships/hyperlink" Target="https://youtu.be/cSGbpZ6hOg0" TargetMode="External"/><Relationship Id="rId39" Type="http://schemas.openxmlformats.org/officeDocument/2006/relationships/hyperlink" Target="https://youtu.be/xpO4_IJINAM" TargetMode="External"/><Relationship Id="rId389" Type="http://schemas.openxmlformats.org/officeDocument/2006/relationships/hyperlink" Target="https://youtu.be/sZDv0Zka2Pk" TargetMode="External"/><Relationship Id="rId388" Type="http://schemas.openxmlformats.org/officeDocument/2006/relationships/hyperlink" Target="https://youtu.be/8-9amsugSXA" TargetMode="External"/><Relationship Id="rId387" Type="http://schemas.openxmlformats.org/officeDocument/2006/relationships/hyperlink" Target="https://youtu.be/jPSok86e4FA" TargetMode="External"/><Relationship Id="rId386" Type="http://schemas.openxmlformats.org/officeDocument/2006/relationships/hyperlink" Target="https://youtu.be/6t6SG5-AjbA" TargetMode="External"/><Relationship Id="rId385" Type="http://schemas.openxmlformats.org/officeDocument/2006/relationships/hyperlink" Target="https://youtu.be/hSPgZmAkUgQ" TargetMode="External"/><Relationship Id="rId384" Type="http://schemas.openxmlformats.org/officeDocument/2006/relationships/hyperlink" Target="https://youtu.be/VPQgJ5Hr7Is" TargetMode="External"/><Relationship Id="rId383" Type="http://schemas.openxmlformats.org/officeDocument/2006/relationships/hyperlink" Target="https://youtu.be/qFLdcT6Y94M" TargetMode="External"/><Relationship Id="rId382" Type="http://schemas.openxmlformats.org/officeDocument/2006/relationships/hyperlink" Target="https://youtu.be/q6XjCJGX_fk" TargetMode="External"/><Relationship Id="rId381" Type="http://schemas.openxmlformats.org/officeDocument/2006/relationships/hyperlink" Target="https://youtu.be/4rfsDMGplZU" TargetMode="External"/><Relationship Id="rId380" Type="http://schemas.openxmlformats.org/officeDocument/2006/relationships/hyperlink" Target="https://youtu.be/fpJ7MegTLBo" TargetMode="External"/><Relationship Id="rId38" Type="http://schemas.openxmlformats.org/officeDocument/2006/relationships/hyperlink" Target="https://youtu.be/DMEiZ1dAnm4" TargetMode="External"/><Relationship Id="rId379" Type="http://schemas.openxmlformats.org/officeDocument/2006/relationships/hyperlink" Target="https://youtu.be/orXIxoZs1i0" TargetMode="External"/><Relationship Id="rId378" Type="http://schemas.openxmlformats.org/officeDocument/2006/relationships/hyperlink" Target="https://youtu.be/zFve9BrKj7k" TargetMode="External"/><Relationship Id="rId377" Type="http://schemas.openxmlformats.org/officeDocument/2006/relationships/hyperlink" Target="https://youtu.be/v9Gjp65MZj0" TargetMode="External"/><Relationship Id="rId376" Type="http://schemas.openxmlformats.org/officeDocument/2006/relationships/hyperlink" Target="https://youtu.be/esle7bnpwrM" TargetMode="External"/><Relationship Id="rId375" Type="http://schemas.openxmlformats.org/officeDocument/2006/relationships/hyperlink" Target="https://youtu.be/haXoWZTu6GE" TargetMode="External"/><Relationship Id="rId374" Type="http://schemas.openxmlformats.org/officeDocument/2006/relationships/hyperlink" Target="https://youtu.be/2jsLPPN4EUY" TargetMode="External"/><Relationship Id="rId373" Type="http://schemas.openxmlformats.org/officeDocument/2006/relationships/hyperlink" Target="https://youtu.be/M11E3kQgPqY" TargetMode="External"/><Relationship Id="rId372" Type="http://schemas.openxmlformats.org/officeDocument/2006/relationships/hyperlink" Target="https://youtu.be/O4dQTh6LKeU" TargetMode="External"/><Relationship Id="rId371" Type="http://schemas.openxmlformats.org/officeDocument/2006/relationships/hyperlink" Target="https://youtu.be/kaxXuzVZMT0" TargetMode="External"/><Relationship Id="rId370" Type="http://schemas.openxmlformats.org/officeDocument/2006/relationships/hyperlink" Target="https://youtu.be/iB6vOP4_9wM" TargetMode="External"/><Relationship Id="rId37" Type="http://schemas.openxmlformats.org/officeDocument/2006/relationships/hyperlink" Target="https://youtu.be/JTVS9M5xlpg" TargetMode="External"/><Relationship Id="rId369" Type="http://schemas.openxmlformats.org/officeDocument/2006/relationships/hyperlink" Target="https://youtu.be/x_0wBdZ5tgc" TargetMode="External"/><Relationship Id="rId368" Type="http://schemas.openxmlformats.org/officeDocument/2006/relationships/hyperlink" Target="https://youtu.be/O4e8PiAPCqk" TargetMode="External"/><Relationship Id="rId367" Type="http://schemas.openxmlformats.org/officeDocument/2006/relationships/hyperlink" Target="https://youtu.be/_rzZcNcyI38" TargetMode="External"/><Relationship Id="rId366" Type="http://schemas.openxmlformats.org/officeDocument/2006/relationships/hyperlink" Target="https://youtu.be/KY408NyQ8c0" TargetMode="External"/><Relationship Id="rId365" Type="http://schemas.openxmlformats.org/officeDocument/2006/relationships/hyperlink" Target="https://youtu.be/q7VOWA2BQbo" TargetMode="External"/><Relationship Id="rId364" Type="http://schemas.openxmlformats.org/officeDocument/2006/relationships/hyperlink" Target="https://youtu.be/-xoVUaHVKGE" TargetMode="External"/><Relationship Id="rId363" Type="http://schemas.openxmlformats.org/officeDocument/2006/relationships/hyperlink" Target="https://youtu.be/Hx8EWvKqDGM" TargetMode="External"/><Relationship Id="rId362" Type="http://schemas.openxmlformats.org/officeDocument/2006/relationships/hyperlink" Target="https://youtu.be/4dHCgxtAp3M" TargetMode="External"/><Relationship Id="rId361" Type="http://schemas.openxmlformats.org/officeDocument/2006/relationships/hyperlink" Target="https://youtu.be/hMfAxN0URMY" TargetMode="External"/><Relationship Id="rId360" Type="http://schemas.openxmlformats.org/officeDocument/2006/relationships/hyperlink" Target="https://youtu.be/91O70aPQGTY" TargetMode="External"/><Relationship Id="rId36" Type="http://schemas.openxmlformats.org/officeDocument/2006/relationships/hyperlink" Target="https://youtu.be/eeoiI1rslyA" TargetMode="External"/><Relationship Id="rId359" Type="http://schemas.openxmlformats.org/officeDocument/2006/relationships/hyperlink" Target="https://youtu.be/4XklSyOj_f4" TargetMode="External"/><Relationship Id="rId358" Type="http://schemas.openxmlformats.org/officeDocument/2006/relationships/hyperlink" Target="https://youtu.be/hb_7EpI0r8Q" TargetMode="External"/><Relationship Id="rId357" Type="http://schemas.openxmlformats.org/officeDocument/2006/relationships/hyperlink" Target="https://youtu.be/W7EJSd-nEp4" TargetMode="External"/><Relationship Id="rId356" Type="http://schemas.openxmlformats.org/officeDocument/2006/relationships/hyperlink" Target="https://youtu.be/QGrZ-Lq6pHs" TargetMode="External"/><Relationship Id="rId355" Type="http://schemas.openxmlformats.org/officeDocument/2006/relationships/hyperlink" Target="https://youtu.be/S4iu55eDQhE" TargetMode="External"/><Relationship Id="rId354" Type="http://schemas.openxmlformats.org/officeDocument/2006/relationships/hyperlink" Target="https://youtu.be/lncMoOv7O-Y" TargetMode="External"/><Relationship Id="rId353" Type="http://schemas.openxmlformats.org/officeDocument/2006/relationships/hyperlink" Target="https://youtu.be/SUYuxZSaeH0" TargetMode="External"/><Relationship Id="rId352" Type="http://schemas.openxmlformats.org/officeDocument/2006/relationships/hyperlink" Target="https://youtu.be/Rc5D2Jb7qXQ" TargetMode="External"/><Relationship Id="rId351" Type="http://schemas.openxmlformats.org/officeDocument/2006/relationships/hyperlink" Target="https://youtu.be/9rY_xecfMyc" TargetMode="External"/><Relationship Id="rId350" Type="http://schemas.openxmlformats.org/officeDocument/2006/relationships/hyperlink" Target="https://youtu.be/gk0ijHIP3hw" TargetMode="External"/><Relationship Id="rId35" Type="http://schemas.openxmlformats.org/officeDocument/2006/relationships/hyperlink" Target="https://youtu.be/vShQYEs1M4M" TargetMode="External"/><Relationship Id="rId349" Type="http://schemas.openxmlformats.org/officeDocument/2006/relationships/hyperlink" Target="https://youtu.be/BMvPLd25LV8" TargetMode="External"/><Relationship Id="rId348" Type="http://schemas.openxmlformats.org/officeDocument/2006/relationships/hyperlink" Target="https://youtu.be/H0_lGAC1cKc" TargetMode="External"/><Relationship Id="rId347" Type="http://schemas.openxmlformats.org/officeDocument/2006/relationships/hyperlink" Target="https://youtu.be/Q412u-Pwzd0" TargetMode="External"/><Relationship Id="rId346" Type="http://schemas.openxmlformats.org/officeDocument/2006/relationships/hyperlink" Target="https://youtu.be/VJj0w_rJfX8" TargetMode="External"/><Relationship Id="rId345" Type="http://schemas.openxmlformats.org/officeDocument/2006/relationships/hyperlink" Target="https://youtu.be/T-iAYCFo_zE" TargetMode="External"/><Relationship Id="rId344" Type="http://schemas.openxmlformats.org/officeDocument/2006/relationships/hyperlink" Target="https://youtu.be/24R_RNAEe9s" TargetMode="External"/><Relationship Id="rId343" Type="http://schemas.openxmlformats.org/officeDocument/2006/relationships/hyperlink" Target="https://youtu.be/Bj7urES3pEY" TargetMode="External"/><Relationship Id="rId342" Type="http://schemas.openxmlformats.org/officeDocument/2006/relationships/hyperlink" Target="https://youtu.be/daU1z50_SjM" TargetMode="External"/><Relationship Id="rId341" Type="http://schemas.openxmlformats.org/officeDocument/2006/relationships/hyperlink" Target="https://youtu.be/BJvJeeiPpto" TargetMode="External"/><Relationship Id="rId340" Type="http://schemas.openxmlformats.org/officeDocument/2006/relationships/hyperlink" Target="https://youtu.be/Odl0TFh0Qy0" TargetMode="External"/><Relationship Id="rId34" Type="http://schemas.openxmlformats.org/officeDocument/2006/relationships/hyperlink" Target="https://youtu.be/juvexqBPyNo" TargetMode="External"/><Relationship Id="rId339" Type="http://schemas.openxmlformats.org/officeDocument/2006/relationships/hyperlink" Target="https://youtu.be/_9XrPuPnhfo" TargetMode="External"/><Relationship Id="rId338" Type="http://schemas.openxmlformats.org/officeDocument/2006/relationships/hyperlink" Target="https://youtu.be/lxGlxbSXrR0" TargetMode="External"/><Relationship Id="rId337" Type="http://schemas.openxmlformats.org/officeDocument/2006/relationships/hyperlink" Target="https://youtu.be/4_WIfQT-JyQ" TargetMode="External"/><Relationship Id="rId336" Type="http://schemas.openxmlformats.org/officeDocument/2006/relationships/hyperlink" Target="https://youtu.be/zS77Mi1wVP4" TargetMode="External"/><Relationship Id="rId335" Type="http://schemas.openxmlformats.org/officeDocument/2006/relationships/hyperlink" Target="https://youtu.be/mPLNg1dj6eU" TargetMode="External"/><Relationship Id="rId334" Type="http://schemas.openxmlformats.org/officeDocument/2006/relationships/hyperlink" Target="https://youtu.be/Pp8QL8Ap8TM" TargetMode="External"/><Relationship Id="rId333" Type="http://schemas.openxmlformats.org/officeDocument/2006/relationships/hyperlink" Target="https://youtu.be/VcCilovgOBo" TargetMode="External"/><Relationship Id="rId332" Type="http://schemas.openxmlformats.org/officeDocument/2006/relationships/hyperlink" Target="https://youtu.be/BnmKCaK3jm8" TargetMode="External"/><Relationship Id="rId331" Type="http://schemas.openxmlformats.org/officeDocument/2006/relationships/hyperlink" Target="https://youtu.be/3GExgpFjBHQ" TargetMode="External"/><Relationship Id="rId330" Type="http://schemas.openxmlformats.org/officeDocument/2006/relationships/hyperlink" Target="https://youtu.be/MPRfZJ_wKvg" TargetMode="External"/><Relationship Id="rId33" Type="http://schemas.openxmlformats.org/officeDocument/2006/relationships/hyperlink" Target="https://youtu.be/-Y8jrH-IAuE" TargetMode="External"/><Relationship Id="rId329" Type="http://schemas.openxmlformats.org/officeDocument/2006/relationships/hyperlink" Target="https://youtu.be/59_vhOYoWWs" TargetMode="External"/><Relationship Id="rId328" Type="http://schemas.openxmlformats.org/officeDocument/2006/relationships/hyperlink" Target="https://youtu.be/jCHH1av1clI" TargetMode="External"/><Relationship Id="rId327" Type="http://schemas.openxmlformats.org/officeDocument/2006/relationships/hyperlink" Target="https://youtu.be/RYAIWK8EMpQ" TargetMode="External"/><Relationship Id="rId326" Type="http://schemas.openxmlformats.org/officeDocument/2006/relationships/hyperlink" Target="https://youtu.be/uMNSZn682CI" TargetMode="External"/><Relationship Id="rId325" Type="http://schemas.openxmlformats.org/officeDocument/2006/relationships/hyperlink" Target="https://youtu.be/7uaSOg4686g" TargetMode="External"/><Relationship Id="rId324" Type="http://schemas.openxmlformats.org/officeDocument/2006/relationships/hyperlink" Target="https://youtu.be/Qq2dRRZdbNk" TargetMode="External"/><Relationship Id="rId323" Type="http://schemas.openxmlformats.org/officeDocument/2006/relationships/hyperlink" Target="https://youtu.be/m3qlOgjQ8IQ" TargetMode="External"/><Relationship Id="rId322" Type="http://schemas.openxmlformats.org/officeDocument/2006/relationships/hyperlink" Target="https://youtu.be/gAkih4DvcV8" TargetMode="External"/><Relationship Id="rId321" Type="http://schemas.openxmlformats.org/officeDocument/2006/relationships/hyperlink" Target="https://youtu.be/e8YFpGvDKiY" TargetMode="External"/><Relationship Id="rId320" Type="http://schemas.openxmlformats.org/officeDocument/2006/relationships/hyperlink" Target="https://youtu.be/azrBxrlXIVA" TargetMode="External"/><Relationship Id="rId32" Type="http://schemas.openxmlformats.org/officeDocument/2006/relationships/hyperlink" Target="https://youtu.be/YCttfniepys" TargetMode="External"/><Relationship Id="rId319" Type="http://schemas.openxmlformats.org/officeDocument/2006/relationships/hyperlink" Target="https://youtu.be/JZShkNXpAZk" TargetMode="External"/><Relationship Id="rId318" Type="http://schemas.openxmlformats.org/officeDocument/2006/relationships/hyperlink" Target="https://youtu.be/IY0qZwvJmjg" TargetMode="External"/><Relationship Id="rId317" Type="http://schemas.openxmlformats.org/officeDocument/2006/relationships/hyperlink" Target="https://youtu.be/mZePGKuo55w" TargetMode="External"/><Relationship Id="rId316" Type="http://schemas.openxmlformats.org/officeDocument/2006/relationships/hyperlink" Target="https://youtu.be/BSxr5UQDJhQ" TargetMode="External"/><Relationship Id="rId315" Type="http://schemas.openxmlformats.org/officeDocument/2006/relationships/hyperlink" Target="https://youtu.be/m9nE9vb10PE" TargetMode="External"/><Relationship Id="rId314" Type="http://schemas.openxmlformats.org/officeDocument/2006/relationships/hyperlink" Target="https://youtu.be/VzYoCQZhTkA" TargetMode="External"/><Relationship Id="rId313" Type="http://schemas.openxmlformats.org/officeDocument/2006/relationships/hyperlink" Target="https://youtu.be/Qx9qSo4M6_Q" TargetMode="External"/><Relationship Id="rId312" Type="http://schemas.openxmlformats.org/officeDocument/2006/relationships/hyperlink" Target="https://youtu.be/iS4kaPJBmEY" TargetMode="External"/><Relationship Id="rId311" Type="http://schemas.openxmlformats.org/officeDocument/2006/relationships/hyperlink" Target="https://youtu.be/BFlLCL56v6E" TargetMode="External"/><Relationship Id="rId310" Type="http://schemas.openxmlformats.org/officeDocument/2006/relationships/hyperlink" Target="https://youtu.be/4z4-OLSfdSc" TargetMode="External"/><Relationship Id="rId31" Type="http://schemas.openxmlformats.org/officeDocument/2006/relationships/hyperlink" Target="https://youtu.be/ZhvFXN8T8X0" TargetMode="External"/><Relationship Id="rId309" Type="http://schemas.openxmlformats.org/officeDocument/2006/relationships/hyperlink" Target="https://youtu.be/QkVRsbPhx_8" TargetMode="External"/><Relationship Id="rId308" Type="http://schemas.openxmlformats.org/officeDocument/2006/relationships/hyperlink" Target="https://youtu.be/WrX0287xk10" TargetMode="External"/><Relationship Id="rId307" Type="http://schemas.openxmlformats.org/officeDocument/2006/relationships/hyperlink" Target="https://youtu.be/PCkAe6KKG6I" TargetMode="External"/><Relationship Id="rId306" Type="http://schemas.openxmlformats.org/officeDocument/2006/relationships/hyperlink" Target="https://youtu.be/H1yhoVMBQFQ" TargetMode="External"/><Relationship Id="rId305" Type="http://schemas.openxmlformats.org/officeDocument/2006/relationships/hyperlink" Target="https://youtu.be/V-necEn5W_Y" TargetMode="External"/><Relationship Id="rId304" Type="http://schemas.openxmlformats.org/officeDocument/2006/relationships/hyperlink" Target="https://youtu.be/eRBHqyMZZz0" TargetMode="External"/><Relationship Id="rId303" Type="http://schemas.openxmlformats.org/officeDocument/2006/relationships/hyperlink" Target="https://youtu.be/us2dgwB_hVI" TargetMode="External"/><Relationship Id="rId302" Type="http://schemas.openxmlformats.org/officeDocument/2006/relationships/hyperlink" Target="https://youtu.be/GBNYMBsGcsM" TargetMode="External"/><Relationship Id="rId301" Type="http://schemas.openxmlformats.org/officeDocument/2006/relationships/hyperlink" Target="https://youtu.be/oJSGoWPZVO4" TargetMode="External"/><Relationship Id="rId300" Type="http://schemas.openxmlformats.org/officeDocument/2006/relationships/hyperlink" Target="https://youtu.be/wB1bB3EuJok" TargetMode="External"/><Relationship Id="rId30" Type="http://schemas.openxmlformats.org/officeDocument/2006/relationships/hyperlink" Target="https://youtu.be/OB_MnVgA-C0" TargetMode="External"/><Relationship Id="rId3" Type="http://schemas.openxmlformats.org/officeDocument/2006/relationships/hyperlink" Target="https://youtu.be/VaBjH9Z6qzM" TargetMode="External"/><Relationship Id="rId299" Type="http://schemas.openxmlformats.org/officeDocument/2006/relationships/hyperlink" Target="https://youtu.be/yKrIo54T1oY" TargetMode="External"/><Relationship Id="rId298" Type="http://schemas.openxmlformats.org/officeDocument/2006/relationships/hyperlink" Target="https://youtu.be/DRWpwM7yIJk" TargetMode="External"/><Relationship Id="rId297" Type="http://schemas.openxmlformats.org/officeDocument/2006/relationships/hyperlink" Target="https://youtu.be/nJsvGZvf7D0" TargetMode="External"/><Relationship Id="rId296" Type="http://schemas.openxmlformats.org/officeDocument/2006/relationships/hyperlink" Target="https://youtu.be/tgZOWZHF8T8" TargetMode="External"/><Relationship Id="rId295" Type="http://schemas.openxmlformats.org/officeDocument/2006/relationships/hyperlink" Target="https://youtu.be/jArVx75gjos" TargetMode="External"/><Relationship Id="rId294" Type="http://schemas.openxmlformats.org/officeDocument/2006/relationships/hyperlink" Target="https://youtu.be/e4YdMqsr3K0" TargetMode="External"/><Relationship Id="rId293" Type="http://schemas.openxmlformats.org/officeDocument/2006/relationships/hyperlink" Target="https://youtu.be/QM-AocQlaq8" TargetMode="External"/><Relationship Id="rId292" Type="http://schemas.openxmlformats.org/officeDocument/2006/relationships/hyperlink" Target="https://youtu.be/ZOUjIL7Seks" TargetMode="External"/><Relationship Id="rId291" Type="http://schemas.openxmlformats.org/officeDocument/2006/relationships/hyperlink" Target="https://youtu.be/2OGxrvxoh8E" TargetMode="External"/><Relationship Id="rId290" Type="http://schemas.openxmlformats.org/officeDocument/2006/relationships/hyperlink" Target="https://youtu.be/8CluuelCu3E" TargetMode="External"/><Relationship Id="rId29" Type="http://schemas.openxmlformats.org/officeDocument/2006/relationships/hyperlink" Target="https://youtu.be/gJUip5d66fw" TargetMode="External"/><Relationship Id="rId289" Type="http://schemas.openxmlformats.org/officeDocument/2006/relationships/hyperlink" Target="https://youtu.be/kl2tGznF4j4" TargetMode="External"/><Relationship Id="rId288" Type="http://schemas.openxmlformats.org/officeDocument/2006/relationships/hyperlink" Target="https://youtu.be/RLGy7CCFnik" TargetMode="External"/><Relationship Id="rId287" Type="http://schemas.openxmlformats.org/officeDocument/2006/relationships/hyperlink" Target="https://youtu.be/iqLArDYe7hw" TargetMode="External"/><Relationship Id="rId286" Type="http://schemas.openxmlformats.org/officeDocument/2006/relationships/hyperlink" Target="https://youtu.be/lg-KOKplLl4" TargetMode="External"/><Relationship Id="rId285" Type="http://schemas.openxmlformats.org/officeDocument/2006/relationships/hyperlink" Target="https://youtu.be/IF6kz6YXvE0" TargetMode="External"/><Relationship Id="rId284" Type="http://schemas.openxmlformats.org/officeDocument/2006/relationships/hyperlink" Target="https://youtu.be/A06wDNxB9QI" TargetMode="External"/><Relationship Id="rId283" Type="http://schemas.openxmlformats.org/officeDocument/2006/relationships/hyperlink" Target="https://youtu.be/f3LVpey6bOQ" TargetMode="External"/><Relationship Id="rId282" Type="http://schemas.openxmlformats.org/officeDocument/2006/relationships/hyperlink" Target="https://youtu.be/1H6wHAMv1QU" TargetMode="External"/><Relationship Id="rId281" Type="http://schemas.openxmlformats.org/officeDocument/2006/relationships/hyperlink" Target="https://youtu.be/2jmAbg13xDw" TargetMode="External"/><Relationship Id="rId280" Type="http://schemas.openxmlformats.org/officeDocument/2006/relationships/hyperlink" Target="https://youtu.be/u9mHc0_M3ug" TargetMode="External"/><Relationship Id="rId28" Type="http://schemas.openxmlformats.org/officeDocument/2006/relationships/hyperlink" Target="https://youtu.be/VUiEdqcLg-k" TargetMode="External"/><Relationship Id="rId279" Type="http://schemas.openxmlformats.org/officeDocument/2006/relationships/hyperlink" Target="https://youtu.be/-vxqjD1e_8s" TargetMode="External"/><Relationship Id="rId278" Type="http://schemas.openxmlformats.org/officeDocument/2006/relationships/hyperlink" Target="https://youtu.be/oeJcFqyDYX0" TargetMode="External"/><Relationship Id="rId277" Type="http://schemas.openxmlformats.org/officeDocument/2006/relationships/hyperlink" Target="https://youtu.be/EdumTVtWLCI" TargetMode="External"/><Relationship Id="rId276" Type="http://schemas.openxmlformats.org/officeDocument/2006/relationships/hyperlink" Target="https://youtu.be/kJDwlC2PrAw" TargetMode="External"/><Relationship Id="rId275" Type="http://schemas.openxmlformats.org/officeDocument/2006/relationships/hyperlink" Target="https://youtu.be/4xQx1aXvK98" TargetMode="External"/><Relationship Id="rId274" Type="http://schemas.openxmlformats.org/officeDocument/2006/relationships/hyperlink" Target="https://youtu.be/SiMgnT36504" TargetMode="External"/><Relationship Id="rId273" Type="http://schemas.openxmlformats.org/officeDocument/2006/relationships/hyperlink" Target="https://youtu.be/tSu6XI6HGrs" TargetMode="External"/><Relationship Id="rId272" Type="http://schemas.openxmlformats.org/officeDocument/2006/relationships/hyperlink" Target="https://youtu.be/nI1pkHEXj3w" TargetMode="External"/><Relationship Id="rId271" Type="http://schemas.openxmlformats.org/officeDocument/2006/relationships/hyperlink" Target="https://youtu.be/GDyteaqYCzY" TargetMode="External"/><Relationship Id="rId270" Type="http://schemas.openxmlformats.org/officeDocument/2006/relationships/hyperlink" Target="https://youtu.be/lV1ShI5eZBI" TargetMode="External"/><Relationship Id="rId27" Type="http://schemas.openxmlformats.org/officeDocument/2006/relationships/hyperlink" Target="https://youtu.be/aWCCNYJV3Zw" TargetMode="External"/><Relationship Id="rId269" Type="http://schemas.openxmlformats.org/officeDocument/2006/relationships/hyperlink" Target="https://youtu.be/_nhemzJVFSw" TargetMode="External"/><Relationship Id="rId268" Type="http://schemas.openxmlformats.org/officeDocument/2006/relationships/hyperlink" Target="https://youtu.be/VLQ2ypFWp2M" TargetMode="External"/><Relationship Id="rId267" Type="http://schemas.openxmlformats.org/officeDocument/2006/relationships/hyperlink" Target="https://youtu.be/B0bwKZb6YI0" TargetMode="External"/><Relationship Id="rId266" Type="http://schemas.openxmlformats.org/officeDocument/2006/relationships/hyperlink" Target="https://youtu.be/uBbxyRtiW2s" TargetMode="External"/><Relationship Id="rId265" Type="http://schemas.openxmlformats.org/officeDocument/2006/relationships/hyperlink" Target="https://youtu.be/4ZOIYEuf5F4" TargetMode="External"/><Relationship Id="rId264" Type="http://schemas.openxmlformats.org/officeDocument/2006/relationships/hyperlink" Target="https://youtu.be/GmhXNvzzJLw" TargetMode="External"/><Relationship Id="rId263" Type="http://schemas.openxmlformats.org/officeDocument/2006/relationships/hyperlink" Target="https://youtu.be/xhrJzj0Y7C8" TargetMode="External"/><Relationship Id="rId262" Type="http://schemas.openxmlformats.org/officeDocument/2006/relationships/hyperlink" Target="https://youtu.be/I7P2VJj3UqM" TargetMode="External"/><Relationship Id="rId261" Type="http://schemas.openxmlformats.org/officeDocument/2006/relationships/hyperlink" Target="https://youtu.be/pHq3zbzpl2w" TargetMode="External"/><Relationship Id="rId260" Type="http://schemas.openxmlformats.org/officeDocument/2006/relationships/hyperlink" Target="https://youtu.be/LO2Xd-kZOyg" TargetMode="External"/><Relationship Id="rId26" Type="http://schemas.openxmlformats.org/officeDocument/2006/relationships/hyperlink" Target="https://youtu.be/LOEE85wuY1M" TargetMode="External"/><Relationship Id="rId259" Type="http://schemas.openxmlformats.org/officeDocument/2006/relationships/hyperlink" Target="https://youtu.be/qUHlj1Dkw68" TargetMode="External"/><Relationship Id="rId258" Type="http://schemas.openxmlformats.org/officeDocument/2006/relationships/hyperlink" Target="https://youtu.be/lMHqnOVH55M" TargetMode="External"/><Relationship Id="rId257" Type="http://schemas.openxmlformats.org/officeDocument/2006/relationships/hyperlink" Target="https://youtu.be/v7oYIecYAeo" TargetMode="External"/><Relationship Id="rId256" Type="http://schemas.openxmlformats.org/officeDocument/2006/relationships/hyperlink" Target="https://youtu.be/f60mhcptQr0" TargetMode="External"/><Relationship Id="rId255" Type="http://schemas.openxmlformats.org/officeDocument/2006/relationships/hyperlink" Target="https://youtu.be/yl06ht6luXg" TargetMode="External"/><Relationship Id="rId254" Type="http://schemas.openxmlformats.org/officeDocument/2006/relationships/hyperlink" Target="https://youtu.be/Wn54fvNiSSM" TargetMode="External"/><Relationship Id="rId253" Type="http://schemas.openxmlformats.org/officeDocument/2006/relationships/hyperlink" Target="https://youtu.be/qV6ARkDnUsQ" TargetMode="External"/><Relationship Id="rId252" Type="http://schemas.openxmlformats.org/officeDocument/2006/relationships/hyperlink" Target="https://youtu.be/2zORTRedW_U" TargetMode="External"/><Relationship Id="rId251" Type="http://schemas.openxmlformats.org/officeDocument/2006/relationships/hyperlink" Target="https://youtu.be/6EW1qev8FT4" TargetMode="External"/><Relationship Id="rId250" Type="http://schemas.openxmlformats.org/officeDocument/2006/relationships/hyperlink" Target="https://youtu.be/KKuYKc4x5xc" TargetMode="External"/><Relationship Id="rId25" Type="http://schemas.openxmlformats.org/officeDocument/2006/relationships/hyperlink" Target="https://youtu.be/9m9ozFud1UE" TargetMode="External"/><Relationship Id="rId249" Type="http://schemas.openxmlformats.org/officeDocument/2006/relationships/hyperlink" Target="https://youtu.be/69rn7zBddPw" TargetMode="External"/><Relationship Id="rId248" Type="http://schemas.openxmlformats.org/officeDocument/2006/relationships/hyperlink" Target="https://youtu.be/pJjqKJyL4Ts" TargetMode="External"/><Relationship Id="rId247" Type="http://schemas.openxmlformats.org/officeDocument/2006/relationships/hyperlink" Target="https://youtu.be/jO8kiJREX9Y" TargetMode="External"/><Relationship Id="rId246" Type="http://schemas.openxmlformats.org/officeDocument/2006/relationships/hyperlink" Target="https://youtu.be/zwpD91NTFcA" TargetMode="External"/><Relationship Id="rId245" Type="http://schemas.openxmlformats.org/officeDocument/2006/relationships/hyperlink" Target="https://youtu.be/9PZd1jFCVSQ" TargetMode="External"/><Relationship Id="rId244" Type="http://schemas.openxmlformats.org/officeDocument/2006/relationships/hyperlink" Target="https://youtu.be/KkD3z1hqgQc" TargetMode="External"/><Relationship Id="rId243" Type="http://schemas.openxmlformats.org/officeDocument/2006/relationships/hyperlink" Target="https://youtu.be/WZl30DgDohg" TargetMode="External"/><Relationship Id="rId242" Type="http://schemas.openxmlformats.org/officeDocument/2006/relationships/hyperlink" Target="https://youtu.be/7epFp7QcZaI" TargetMode="External"/><Relationship Id="rId241" Type="http://schemas.openxmlformats.org/officeDocument/2006/relationships/hyperlink" Target="https://youtu.be/jnKRaTpUAdA" TargetMode="External"/><Relationship Id="rId240" Type="http://schemas.openxmlformats.org/officeDocument/2006/relationships/hyperlink" Target="https://youtu.be/VmE_8F-g1wc" TargetMode="External"/><Relationship Id="rId24" Type="http://schemas.openxmlformats.org/officeDocument/2006/relationships/hyperlink" Target="https://youtu.be/3qveASgrpA8" TargetMode="External"/><Relationship Id="rId239" Type="http://schemas.openxmlformats.org/officeDocument/2006/relationships/hyperlink" Target="https://youtu.be/wCq9bj0HUic" TargetMode="External"/><Relationship Id="rId238" Type="http://schemas.openxmlformats.org/officeDocument/2006/relationships/hyperlink" Target="https://youtu.be/Pt-hteeok6g" TargetMode="External"/><Relationship Id="rId237" Type="http://schemas.openxmlformats.org/officeDocument/2006/relationships/hyperlink" Target="https://youtu.be/7r-6M2HVkgE" TargetMode="External"/><Relationship Id="rId236" Type="http://schemas.openxmlformats.org/officeDocument/2006/relationships/hyperlink" Target="https://youtu.be/tBe2A63ipAM" TargetMode="External"/><Relationship Id="rId235" Type="http://schemas.openxmlformats.org/officeDocument/2006/relationships/hyperlink" Target="https://youtu.be/ODB-oDlf25M" TargetMode="External"/><Relationship Id="rId234" Type="http://schemas.openxmlformats.org/officeDocument/2006/relationships/hyperlink" Target="https://youtu.be/p5jjf-kHcT0" TargetMode="External"/><Relationship Id="rId233" Type="http://schemas.openxmlformats.org/officeDocument/2006/relationships/hyperlink" Target="https://youtu.be/dIVMY5fPnSI" TargetMode="External"/><Relationship Id="rId232" Type="http://schemas.openxmlformats.org/officeDocument/2006/relationships/hyperlink" Target="https://youtu.be/AopLE4SrtCI" TargetMode="External"/><Relationship Id="rId231" Type="http://schemas.openxmlformats.org/officeDocument/2006/relationships/hyperlink" Target="https://youtu.be/kZzLaWHtymI" TargetMode="External"/><Relationship Id="rId230" Type="http://schemas.openxmlformats.org/officeDocument/2006/relationships/hyperlink" Target="https://youtu.be/v9aIFHjQH8Q" TargetMode="External"/><Relationship Id="rId23" Type="http://schemas.openxmlformats.org/officeDocument/2006/relationships/hyperlink" Target="https://youtu.be/JzfZD8nimV4" TargetMode="External"/><Relationship Id="rId229" Type="http://schemas.openxmlformats.org/officeDocument/2006/relationships/hyperlink" Target="https://youtu.be/B-tOYeKgKTM" TargetMode="External"/><Relationship Id="rId228" Type="http://schemas.openxmlformats.org/officeDocument/2006/relationships/hyperlink" Target="https://youtu.be/pjGB2zGjJpY" TargetMode="External"/><Relationship Id="rId227" Type="http://schemas.openxmlformats.org/officeDocument/2006/relationships/hyperlink" Target="https://youtu.be/33E3zecrWMA" TargetMode="External"/><Relationship Id="rId226" Type="http://schemas.openxmlformats.org/officeDocument/2006/relationships/hyperlink" Target="https://youtu.be/TVhvvhTCoDc" TargetMode="External"/><Relationship Id="rId225" Type="http://schemas.openxmlformats.org/officeDocument/2006/relationships/hyperlink" Target="https://youtu.be/aePzJ8XpwZo" TargetMode="External"/><Relationship Id="rId224" Type="http://schemas.openxmlformats.org/officeDocument/2006/relationships/hyperlink" Target="https://youtu.be/xSA3GQOOgAQ" TargetMode="External"/><Relationship Id="rId223" Type="http://schemas.openxmlformats.org/officeDocument/2006/relationships/hyperlink" Target="https://youtu.be/2uRBfj75IQY" TargetMode="External"/><Relationship Id="rId222" Type="http://schemas.openxmlformats.org/officeDocument/2006/relationships/hyperlink" Target="https://youtu.be/zvFW9i93B2U" TargetMode="External"/><Relationship Id="rId221" Type="http://schemas.openxmlformats.org/officeDocument/2006/relationships/hyperlink" Target="https://youtu.be/B7r1uHvcamY" TargetMode="External"/><Relationship Id="rId220" Type="http://schemas.openxmlformats.org/officeDocument/2006/relationships/hyperlink" Target="https://youtu.be/Z0R9RgAYItE" TargetMode="External"/><Relationship Id="rId22" Type="http://schemas.openxmlformats.org/officeDocument/2006/relationships/hyperlink" Target="https://youtu.be/xxDM77e9kXI" TargetMode="External"/><Relationship Id="rId219" Type="http://schemas.openxmlformats.org/officeDocument/2006/relationships/hyperlink" Target="https://youtu.be/kQhpiUcGkkY" TargetMode="External"/><Relationship Id="rId218" Type="http://schemas.openxmlformats.org/officeDocument/2006/relationships/hyperlink" Target="https://youtu.be/15vPL00MLqs" TargetMode="External"/><Relationship Id="rId217" Type="http://schemas.openxmlformats.org/officeDocument/2006/relationships/hyperlink" Target="https://youtu.be/8B404g4vgEE" TargetMode="External"/><Relationship Id="rId216" Type="http://schemas.openxmlformats.org/officeDocument/2006/relationships/hyperlink" Target="https://youtu.be/9hw6SBiJ2Ns" TargetMode="External"/><Relationship Id="rId215" Type="http://schemas.openxmlformats.org/officeDocument/2006/relationships/hyperlink" Target="https://youtu.be/WTEOcKhwAi4" TargetMode="External"/><Relationship Id="rId214" Type="http://schemas.openxmlformats.org/officeDocument/2006/relationships/hyperlink" Target="https://youtu.be/wbcWwbIlaO8" TargetMode="External"/><Relationship Id="rId213" Type="http://schemas.openxmlformats.org/officeDocument/2006/relationships/hyperlink" Target="https://youtu.be/4RHwkZLOmMQ" TargetMode="External"/><Relationship Id="rId212" Type="http://schemas.openxmlformats.org/officeDocument/2006/relationships/hyperlink" Target="https://youtu.be/Em01wT-X7QQ" TargetMode="External"/><Relationship Id="rId211" Type="http://schemas.openxmlformats.org/officeDocument/2006/relationships/hyperlink" Target="https://youtu.be/EK-edpLvDwo" TargetMode="External"/><Relationship Id="rId210" Type="http://schemas.openxmlformats.org/officeDocument/2006/relationships/hyperlink" Target="https://youtu.be/2NzzfQ0ehcU" TargetMode="External"/><Relationship Id="rId21" Type="http://schemas.openxmlformats.org/officeDocument/2006/relationships/hyperlink" Target="https://youtu.be/fhaWaGZJaCw" TargetMode="External"/><Relationship Id="rId209" Type="http://schemas.openxmlformats.org/officeDocument/2006/relationships/hyperlink" Target="https://youtu.be/ZdobdzBO-3k" TargetMode="External"/><Relationship Id="rId208" Type="http://schemas.openxmlformats.org/officeDocument/2006/relationships/hyperlink" Target="https://youtu.be/enxy1mpwzeo" TargetMode="External"/><Relationship Id="rId207" Type="http://schemas.openxmlformats.org/officeDocument/2006/relationships/hyperlink" Target="https://youtu.be/8mqwMq90CgU" TargetMode="External"/><Relationship Id="rId206" Type="http://schemas.openxmlformats.org/officeDocument/2006/relationships/hyperlink" Target="https://youtu.be/EZrliokfWVk" TargetMode="External"/><Relationship Id="rId205" Type="http://schemas.openxmlformats.org/officeDocument/2006/relationships/hyperlink" Target="https://youtu.be/1U6xbpYRia8" TargetMode="External"/><Relationship Id="rId204" Type="http://schemas.openxmlformats.org/officeDocument/2006/relationships/hyperlink" Target="https://youtu.be/fG86A99PvvU" TargetMode="External"/><Relationship Id="rId203" Type="http://schemas.openxmlformats.org/officeDocument/2006/relationships/hyperlink" Target="https://youtu.be/gVAtIW7KMzQ" TargetMode="External"/><Relationship Id="rId202" Type="http://schemas.openxmlformats.org/officeDocument/2006/relationships/hyperlink" Target="https://youtu.be/KlQxwtDNJoQ" TargetMode="External"/><Relationship Id="rId201" Type="http://schemas.openxmlformats.org/officeDocument/2006/relationships/hyperlink" Target="https://youtu.be/EGB7vR4AXSE" TargetMode="External"/><Relationship Id="rId200" Type="http://schemas.openxmlformats.org/officeDocument/2006/relationships/hyperlink" Target="https://youtu.be/k8MxCQJ9dy0" TargetMode="External"/><Relationship Id="rId20" Type="http://schemas.openxmlformats.org/officeDocument/2006/relationships/hyperlink" Target="https://youtu.be/hhs3N4DePyk" TargetMode="External"/><Relationship Id="rId2" Type="http://schemas.openxmlformats.org/officeDocument/2006/relationships/hyperlink" Target="https://files.afu.se/Downloads/Transcripts/0%20-%20Government/USA%20-%20NASA%20Kennedy/" TargetMode="External"/><Relationship Id="rId199" Type="http://schemas.openxmlformats.org/officeDocument/2006/relationships/hyperlink" Target="https://youtu.be/8GS00U76ADo" TargetMode="External"/><Relationship Id="rId198" Type="http://schemas.openxmlformats.org/officeDocument/2006/relationships/hyperlink" Target="https://youtu.be/Yd8j6nRqvDk" TargetMode="External"/><Relationship Id="rId197" Type="http://schemas.openxmlformats.org/officeDocument/2006/relationships/hyperlink" Target="https://youtu.be/MQOrzEJnWo0" TargetMode="External"/><Relationship Id="rId196" Type="http://schemas.openxmlformats.org/officeDocument/2006/relationships/hyperlink" Target="https://youtu.be/UbndtdZT_4U" TargetMode="External"/><Relationship Id="rId195" Type="http://schemas.openxmlformats.org/officeDocument/2006/relationships/hyperlink" Target="https://youtu.be/ffUx_QK8Njk" TargetMode="External"/><Relationship Id="rId194" Type="http://schemas.openxmlformats.org/officeDocument/2006/relationships/hyperlink" Target="https://youtu.be/qtI3Sn5bZTw" TargetMode="External"/><Relationship Id="rId193" Type="http://schemas.openxmlformats.org/officeDocument/2006/relationships/hyperlink" Target="https://youtu.be/WL7mhmjOeEg" TargetMode="External"/><Relationship Id="rId192" Type="http://schemas.openxmlformats.org/officeDocument/2006/relationships/hyperlink" Target="https://youtu.be/IyWE_CIbqRU" TargetMode="External"/><Relationship Id="rId191" Type="http://schemas.openxmlformats.org/officeDocument/2006/relationships/hyperlink" Target="https://youtu.be/stxg0mGXlQ8" TargetMode="External"/><Relationship Id="rId190" Type="http://schemas.openxmlformats.org/officeDocument/2006/relationships/hyperlink" Target="https://youtu.be/4qhiGm2Df3A" TargetMode="External"/><Relationship Id="rId19" Type="http://schemas.openxmlformats.org/officeDocument/2006/relationships/hyperlink" Target="https://youtu.be/ExBBwTzthnw" TargetMode="External"/><Relationship Id="rId189" Type="http://schemas.openxmlformats.org/officeDocument/2006/relationships/hyperlink" Target="https://youtu.be/oW1E_mG0SFg" TargetMode="External"/><Relationship Id="rId188" Type="http://schemas.openxmlformats.org/officeDocument/2006/relationships/hyperlink" Target="https://youtu.be/HJkfrYYh5Yc" TargetMode="External"/><Relationship Id="rId187" Type="http://schemas.openxmlformats.org/officeDocument/2006/relationships/hyperlink" Target="https://youtu.be/tpBYwlwiEIs" TargetMode="External"/><Relationship Id="rId186" Type="http://schemas.openxmlformats.org/officeDocument/2006/relationships/hyperlink" Target="https://youtu.be/7m8E3mI8KQ8" TargetMode="External"/><Relationship Id="rId185" Type="http://schemas.openxmlformats.org/officeDocument/2006/relationships/hyperlink" Target="https://youtu.be/3Zps8MPTfOY" TargetMode="External"/><Relationship Id="rId184" Type="http://schemas.openxmlformats.org/officeDocument/2006/relationships/hyperlink" Target="https://youtu.be/PwhOEzVzDcQ" TargetMode="External"/><Relationship Id="rId183" Type="http://schemas.openxmlformats.org/officeDocument/2006/relationships/hyperlink" Target="https://youtu.be/wA1kZaVyt-A" TargetMode="External"/><Relationship Id="rId182" Type="http://schemas.openxmlformats.org/officeDocument/2006/relationships/hyperlink" Target="https://youtu.be/OBszj6tZ6G4" TargetMode="External"/><Relationship Id="rId181" Type="http://schemas.openxmlformats.org/officeDocument/2006/relationships/hyperlink" Target="https://youtu.be/4BYIeeLJNEI" TargetMode="External"/><Relationship Id="rId180" Type="http://schemas.openxmlformats.org/officeDocument/2006/relationships/hyperlink" Target="https://youtu.be/8gSb45BJ_E4" TargetMode="External"/><Relationship Id="rId18" Type="http://schemas.openxmlformats.org/officeDocument/2006/relationships/hyperlink" Target="https://youtu.be/v9TVkRx12OI" TargetMode="External"/><Relationship Id="rId179" Type="http://schemas.openxmlformats.org/officeDocument/2006/relationships/hyperlink" Target="https://youtu.be/wRZPX8fBZMg" TargetMode="External"/><Relationship Id="rId178" Type="http://schemas.openxmlformats.org/officeDocument/2006/relationships/hyperlink" Target="https://youtu.be/cGMJouzeZ8I" TargetMode="External"/><Relationship Id="rId177" Type="http://schemas.openxmlformats.org/officeDocument/2006/relationships/hyperlink" Target="https://youtu.be/9W9bnvXhe_8" TargetMode="External"/><Relationship Id="rId1760" Type="http://schemas.openxmlformats.org/officeDocument/2006/relationships/hyperlink" Target="https://youtu.be/xnoJoRtJFsk" TargetMode="External"/><Relationship Id="rId176" Type="http://schemas.openxmlformats.org/officeDocument/2006/relationships/hyperlink" Target="https://youtu.be/1CztM1kOdmM" TargetMode="External"/><Relationship Id="rId1759" Type="http://schemas.openxmlformats.org/officeDocument/2006/relationships/hyperlink" Target="https://youtu.be/ZCOPYSk6-t0" TargetMode="External"/><Relationship Id="rId1758" Type="http://schemas.openxmlformats.org/officeDocument/2006/relationships/hyperlink" Target="https://youtu.be/SmML27JfjIc" TargetMode="External"/><Relationship Id="rId1757" Type="http://schemas.openxmlformats.org/officeDocument/2006/relationships/hyperlink" Target="https://youtu.be/6W7Ld-JxQuw" TargetMode="External"/><Relationship Id="rId1756" Type="http://schemas.openxmlformats.org/officeDocument/2006/relationships/hyperlink" Target="https://youtu.be/2EDMGH1Esq4" TargetMode="External"/><Relationship Id="rId1755" Type="http://schemas.openxmlformats.org/officeDocument/2006/relationships/hyperlink" Target="https://youtu.be/k1u7tX_4TyI" TargetMode="External"/><Relationship Id="rId1754" Type="http://schemas.openxmlformats.org/officeDocument/2006/relationships/hyperlink" Target="https://youtu.be/5cYClDjxwoo" TargetMode="External"/><Relationship Id="rId1753" Type="http://schemas.openxmlformats.org/officeDocument/2006/relationships/hyperlink" Target="https://youtu.be/jW39sJeLLWc" TargetMode="External"/><Relationship Id="rId1752" Type="http://schemas.openxmlformats.org/officeDocument/2006/relationships/hyperlink" Target="https://youtu.be/WhhACIqczO4" TargetMode="External"/><Relationship Id="rId1751" Type="http://schemas.openxmlformats.org/officeDocument/2006/relationships/hyperlink" Target="https://youtu.be/lQSpFfvtQQk" TargetMode="External"/><Relationship Id="rId1750" Type="http://schemas.openxmlformats.org/officeDocument/2006/relationships/hyperlink" Target="https://youtu.be/j2z559S1MKA" TargetMode="External"/><Relationship Id="rId175" Type="http://schemas.openxmlformats.org/officeDocument/2006/relationships/hyperlink" Target="https://youtu.be/jusxojMGlJg" TargetMode="External"/><Relationship Id="rId1749" Type="http://schemas.openxmlformats.org/officeDocument/2006/relationships/hyperlink" Target="https://youtu.be/hVqnOvC-ksU" TargetMode="External"/><Relationship Id="rId1748" Type="http://schemas.openxmlformats.org/officeDocument/2006/relationships/hyperlink" Target="https://youtu.be/be5ukUtu8mg" TargetMode="External"/><Relationship Id="rId1747" Type="http://schemas.openxmlformats.org/officeDocument/2006/relationships/hyperlink" Target="https://youtu.be/mDxxuMwAEd4" TargetMode="External"/><Relationship Id="rId1746" Type="http://schemas.openxmlformats.org/officeDocument/2006/relationships/hyperlink" Target="https://youtu.be/z-s9pQXzxCE" TargetMode="External"/><Relationship Id="rId1745" Type="http://schemas.openxmlformats.org/officeDocument/2006/relationships/hyperlink" Target="https://youtu.be/rymMpXl6FYA" TargetMode="External"/><Relationship Id="rId1744" Type="http://schemas.openxmlformats.org/officeDocument/2006/relationships/hyperlink" Target="https://youtu.be/nDCGJb1TaoQ" TargetMode="External"/><Relationship Id="rId1743" Type="http://schemas.openxmlformats.org/officeDocument/2006/relationships/hyperlink" Target="https://youtu.be/Gnch_x1G22w" TargetMode="External"/><Relationship Id="rId1742" Type="http://schemas.openxmlformats.org/officeDocument/2006/relationships/hyperlink" Target="https://youtu.be/P2itpixEZ6o" TargetMode="External"/><Relationship Id="rId1741" Type="http://schemas.openxmlformats.org/officeDocument/2006/relationships/hyperlink" Target="https://youtu.be/E0YR9gT8Mis" TargetMode="External"/><Relationship Id="rId1740" Type="http://schemas.openxmlformats.org/officeDocument/2006/relationships/hyperlink" Target="https://youtu.be/ULgNlkRE-3g" TargetMode="External"/><Relationship Id="rId174" Type="http://schemas.openxmlformats.org/officeDocument/2006/relationships/hyperlink" Target="https://youtu.be/E2Z2P7do7rQ" TargetMode="External"/><Relationship Id="rId1739" Type="http://schemas.openxmlformats.org/officeDocument/2006/relationships/hyperlink" Target="https://youtu.be/Js-JK8gCkYk" TargetMode="External"/><Relationship Id="rId1738" Type="http://schemas.openxmlformats.org/officeDocument/2006/relationships/hyperlink" Target="https://youtu.be/Fz13jfoJui0" TargetMode="External"/><Relationship Id="rId1737" Type="http://schemas.openxmlformats.org/officeDocument/2006/relationships/hyperlink" Target="https://youtu.be/SPP9OyLaDBE" TargetMode="External"/><Relationship Id="rId1736" Type="http://schemas.openxmlformats.org/officeDocument/2006/relationships/hyperlink" Target="https://youtu.be/4pJj152X3BE" TargetMode="External"/><Relationship Id="rId1735" Type="http://schemas.openxmlformats.org/officeDocument/2006/relationships/hyperlink" Target="https://youtu.be/gdlzKTeb9Dk" TargetMode="External"/><Relationship Id="rId1734" Type="http://schemas.openxmlformats.org/officeDocument/2006/relationships/hyperlink" Target="https://youtu.be/CUSbQfDMyio" TargetMode="External"/><Relationship Id="rId1733" Type="http://schemas.openxmlformats.org/officeDocument/2006/relationships/hyperlink" Target="https://youtu.be/2cPWLrviMgY" TargetMode="External"/><Relationship Id="rId1732" Type="http://schemas.openxmlformats.org/officeDocument/2006/relationships/hyperlink" Target="https://youtu.be/ijvC8AzCF1M" TargetMode="External"/><Relationship Id="rId1731" Type="http://schemas.openxmlformats.org/officeDocument/2006/relationships/hyperlink" Target="https://youtu.be/tefLGpfFaAs" TargetMode="External"/><Relationship Id="rId1730" Type="http://schemas.openxmlformats.org/officeDocument/2006/relationships/hyperlink" Target="https://youtu.be/EczIjsMawQw" TargetMode="External"/><Relationship Id="rId173" Type="http://schemas.openxmlformats.org/officeDocument/2006/relationships/hyperlink" Target="https://youtu.be/8NwEn0vwk2s" TargetMode="External"/><Relationship Id="rId1729" Type="http://schemas.openxmlformats.org/officeDocument/2006/relationships/hyperlink" Target="https://youtu.be/3kBdNJVIuBA" TargetMode="External"/><Relationship Id="rId1728" Type="http://schemas.openxmlformats.org/officeDocument/2006/relationships/hyperlink" Target="https://youtu.be/9kfVxQTEbGk" TargetMode="External"/><Relationship Id="rId1727" Type="http://schemas.openxmlformats.org/officeDocument/2006/relationships/hyperlink" Target="https://youtu.be/ckI2FyBTsZA" TargetMode="External"/><Relationship Id="rId1726" Type="http://schemas.openxmlformats.org/officeDocument/2006/relationships/hyperlink" Target="https://youtu.be/oDMBvXeDY6g" TargetMode="External"/><Relationship Id="rId1725" Type="http://schemas.openxmlformats.org/officeDocument/2006/relationships/hyperlink" Target="https://youtu.be/EwVxjqvHihM" TargetMode="External"/><Relationship Id="rId1724" Type="http://schemas.openxmlformats.org/officeDocument/2006/relationships/hyperlink" Target="https://youtu.be/dpyKTRsGExI" TargetMode="External"/><Relationship Id="rId1723" Type="http://schemas.openxmlformats.org/officeDocument/2006/relationships/hyperlink" Target="https://youtu.be/NfvWf9-ohIg" TargetMode="External"/><Relationship Id="rId1722" Type="http://schemas.openxmlformats.org/officeDocument/2006/relationships/hyperlink" Target="https://youtu.be/CzXsBGKoPDE" TargetMode="External"/><Relationship Id="rId1721" Type="http://schemas.openxmlformats.org/officeDocument/2006/relationships/hyperlink" Target="https://youtu.be/03qHnV8BpBM" TargetMode="External"/><Relationship Id="rId1720" Type="http://schemas.openxmlformats.org/officeDocument/2006/relationships/hyperlink" Target="https://youtu.be/NGfQMMu5Hc4" TargetMode="External"/><Relationship Id="rId172" Type="http://schemas.openxmlformats.org/officeDocument/2006/relationships/hyperlink" Target="https://youtu.be/DJz-0Pq5_q0" TargetMode="External"/><Relationship Id="rId1719" Type="http://schemas.openxmlformats.org/officeDocument/2006/relationships/hyperlink" Target="https://youtu.be/fPHNqLCvqHw" TargetMode="External"/><Relationship Id="rId1718" Type="http://schemas.openxmlformats.org/officeDocument/2006/relationships/hyperlink" Target="https://youtu.be/3DGyY3rOrRw" TargetMode="External"/><Relationship Id="rId1717" Type="http://schemas.openxmlformats.org/officeDocument/2006/relationships/hyperlink" Target="https://youtu.be/lli_ANKU8Yc" TargetMode="External"/><Relationship Id="rId1716" Type="http://schemas.openxmlformats.org/officeDocument/2006/relationships/hyperlink" Target="https://youtu.be/xckreOVh6KQ" TargetMode="External"/><Relationship Id="rId1715" Type="http://schemas.openxmlformats.org/officeDocument/2006/relationships/hyperlink" Target="https://youtu.be/dCpZ0D_Rvus" TargetMode="External"/><Relationship Id="rId1714" Type="http://schemas.openxmlformats.org/officeDocument/2006/relationships/hyperlink" Target="https://youtu.be/AGR1wueBNkk" TargetMode="External"/><Relationship Id="rId1713" Type="http://schemas.openxmlformats.org/officeDocument/2006/relationships/hyperlink" Target="https://youtu.be/6lI7kXgSLbQ" TargetMode="External"/><Relationship Id="rId1712" Type="http://schemas.openxmlformats.org/officeDocument/2006/relationships/hyperlink" Target="https://youtu.be/UilV8Xrlt4Q" TargetMode="External"/><Relationship Id="rId1711" Type="http://schemas.openxmlformats.org/officeDocument/2006/relationships/hyperlink" Target="https://youtu.be/ZNdhcJRaA3w" TargetMode="External"/><Relationship Id="rId1710" Type="http://schemas.openxmlformats.org/officeDocument/2006/relationships/hyperlink" Target="https://youtu.be/H0ZHzAvFuYc" TargetMode="External"/><Relationship Id="rId171" Type="http://schemas.openxmlformats.org/officeDocument/2006/relationships/hyperlink" Target="https://youtu.be/pmmilGIONaA" TargetMode="External"/><Relationship Id="rId1709" Type="http://schemas.openxmlformats.org/officeDocument/2006/relationships/hyperlink" Target="https://youtu.be/Ts2-J2VhAv0" TargetMode="External"/><Relationship Id="rId1708" Type="http://schemas.openxmlformats.org/officeDocument/2006/relationships/hyperlink" Target="https://youtu.be/rgJOVnr-LbY" TargetMode="External"/><Relationship Id="rId1707" Type="http://schemas.openxmlformats.org/officeDocument/2006/relationships/hyperlink" Target="https://youtu.be/5W5fYQT97XE" TargetMode="External"/><Relationship Id="rId1706" Type="http://schemas.openxmlformats.org/officeDocument/2006/relationships/hyperlink" Target="https://youtu.be/d-Lhf_PhlSQ" TargetMode="External"/><Relationship Id="rId1705" Type="http://schemas.openxmlformats.org/officeDocument/2006/relationships/hyperlink" Target="https://youtu.be/uXP3D4Ps5z0" TargetMode="External"/><Relationship Id="rId1704" Type="http://schemas.openxmlformats.org/officeDocument/2006/relationships/hyperlink" Target="https://youtu.be/5VPAUXAbZ64" TargetMode="External"/><Relationship Id="rId1703" Type="http://schemas.openxmlformats.org/officeDocument/2006/relationships/hyperlink" Target="https://youtu.be/F0sfUMnkItY" TargetMode="External"/><Relationship Id="rId1702" Type="http://schemas.openxmlformats.org/officeDocument/2006/relationships/hyperlink" Target="https://youtu.be/grC0HFhGA70" TargetMode="External"/><Relationship Id="rId1701" Type="http://schemas.openxmlformats.org/officeDocument/2006/relationships/hyperlink" Target="https://youtu.be/W0ltvXVJ5u4" TargetMode="External"/><Relationship Id="rId1700" Type="http://schemas.openxmlformats.org/officeDocument/2006/relationships/hyperlink" Target="https://youtu.be/JFWLM4rHUZk" TargetMode="External"/><Relationship Id="rId170" Type="http://schemas.openxmlformats.org/officeDocument/2006/relationships/hyperlink" Target="https://youtu.be/4Bzh3amyCvk" TargetMode="External"/><Relationship Id="rId17" Type="http://schemas.openxmlformats.org/officeDocument/2006/relationships/hyperlink" Target="https://youtu.be/M6lgw1KKAw4" TargetMode="External"/><Relationship Id="rId1699" Type="http://schemas.openxmlformats.org/officeDocument/2006/relationships/hyperlink" Target="https://youtu.be/ObcL0BNL1_k" TargetMode="External"/><Relationship Id="rId1698" Type="http://schemas.openxmlformats.org/officeDocument/2006/relationships/hyperlink" Target="https://youtu.be/82P5uJXTaOk" TargetMode="External"/><Relationship Id="rId1697" Type="http://schemas.openxmlformats.org/officeDocument/2006/relationships/hyperlink" Target="https://youtu.be/8K7J5qhuJ6A" TargetMode="External"/><Relationship Id="rId1696" Type="http://schemas.openxmlformats.org/officeDocument/2006/relationships/hyperlink" Target="https://youtu.be/PpxA8XSK3U0" TargetMode="External"/><Relationship Id="rId1695" Type="http://schemas.openxmlformats.org/officeDocument/2006/relationships/hyperlink" Target="https://youtu.be/1drp3bFh4kk" TargetMode="External"/><Relationship Id="rId1694" Type="http://schemas.openxmlformats.org/officeDocument/2006/relationships/hyperlink" Target="https://youtu.be/PDwH9UlRIjc" TargetMode="External"/><Relationship Id="rId1693" Type="http://schemas.openxmlformats.org/officeDocument/2006/relationships/hyperlink" Target="https://youtu.be/dtE-RiUzAhk" TargetMode="External"/><Relationship Id="rId1692" Type="http://schemas.openxmlformats.org/officeDocument/2006/relationships/hyperlink" Target="https://youtu.be/Jei02El3wpc" TargetMode="External"/><Relationship Id="rId1691" Type="http://schemas.openxmlformats.org/officeDocument/2006/relationships/hyperlink" Target="https://youtu.be/Mk9qe5o5DnM" TargetMode="External"/><Relationship Id="rId1690" Type="http://schemas.openxmlformats.org/officeDocument/2006/relationships/hyperlink" Target="https://youtu.be/y3B4eZCWm7o" TargetMode="External"/><Relationship Id="rId169" Type="http://schemas.openxmlformats.org/officeDocument/2006/relationships/hyperlink" Target="https://youtu.be/-OR336xQldY" TargetMode="External"/><Relationship Id="rId1689" Type="http://schemas.openxmlformats.org/officeDocument/2006/relationships/hyperlink" Target="https://youtu.be/ljtNVoR78J8" TargetMode="External"/><Relationship Id="rId1688" Type="http://schemas.openxmlformats.org/officeDocument/2006/relationships/hyperlink" Target="https://youtu.be/SnzF9AzfhaU" TargetMode="External"/><Relationship Id="rId1687" Type="http://schemas.openxmlformats.org/officeDocument/2006/relationships/hyperlink" Target="https://youtu.be/erHYPQLf8aw" TargetMode="External"/><Relationship Id="rId1686" Type="http://schemas.openxmlformats.org/officeDocument/2006/relationships/hyperlink" Target="https://youtu.be/5uaFTurUOkI" TargetMode="External"/><Relationship Id="rId1685" Type="http://schemas.openxmlformats.org/officeDocument/2006/relationships/hyperlink" Target="https://youtu.be/3ZMXEjufCmY" TargetMode="External"/><Relationship Id="rId1684" Type="http://schemas.openxmlformats.org/officeDocument/2006/relationships/hyperlink" Target="https://youtu.be/O2C9XrkGS9M" TargetMode="External"/><Relationship Id="rId1683" Type="http://schemas.openxmlformats.org/officeDocument/2006/relationships/hyperlink" Target="https://youtu.be/lxzDc4D4hjY" TargetMode="External"/><Relationship Id="rId1682" Type="http://schemas.openxmlformats.org/officeDocument/2006/relationships/hyperlink" Target="https://youtu.be/O7iwkKFAKzs" TargetMode="External"/><Relationship Id="rId1681" Type="http://schemas.openxmlformats.org/officeDocument/2006/relationships/hyperlink" Target="https://youtu.be/mcgH4YFpYDI" TargetMode="External"/><Relationship Id="rId1680" Type="http://schemas.openxmlformats.org/officeDocument/2006/relationships/hyperlink" Target="https://youtu.be/Cp8txp4VH4g" TargetMode="External"/><Relationship Id="rId168" Type="http://schemas.openxmlformats.org/officeDocument/2006/relationships/hyperlink" Target="https://youtu.be/QJilQsllqE0" TargetMode="External"/><Relationship Id="rId1679" Type="http://schemas.openxmlformats.org/officeDocument/2006/relationships/hyperlink" Target="https://youtu.be/iNunR_PffsU" TargetMode="External"/><Relationship Id="rId1678" Type="http://schemas.openxmlformats.org/officeDocument/2006/relationships/hyperlink" Target="https://youtu.be/a3t_zvBMMKE" TargetMode="External"/><Relationship Id="rId1677" Type="http://schemas.openxmlformats.org/officeDocument/2006/relationships/hyperlink" Target="https://youtu.be/7EM7YzCzSGQ" TargetMode="External"/><Relationship Id="rId1676" Type="http://schemas.openxmlformats.org/officeDocument/2006/relationships/hyperlink" Target="https://youtu.be/g5VkYpZWJAY" TargetMode="External"/><Relationship Id="rId1675" Type="http://schemas.openxmlformats.org/officeDocument/2006/relationships/hyperlink" Target="https://youtu.be/oEaFDTL3jtY" TargetMode="External"/><Relationship Id="rId1674" Type="http://schemas.openxmlformats.org/officeDocument/2006/relationships/hyperlink" Target="https://youtu.be/JO3gQ-zWPvY" TargetMode="External"/><Relationship Id="rId1673" Type="http://schemas.openxmlformats.org/officeDocument/2006/relationships/hyperlink" Target="https://youtu.be/l1m1Mr0aPSs" TargetMode="External"/><Relationship Id="rId1672" Type="http://schemas.openxmlformats.org/officeDocument/2006/relationships/hyperlink" Target="https://youtu.be/Uym_zFWtXps" TargetMode="External"/><Relationship Id="rId1671" Type="http://schemas.openxmlformats.org/officeDocument/2006/relationships/hyperlink" Target="https://youtu.be/94fMTHLdI3k" TargetMode="External"/><Relationship Id="rId1670" Type="http://schemas.openxmlformats.org/officeDocument/2006/relationships/hyperlink" Target="https://youtu.be/AIBr3wlL4X8" TargetMode="External"/><Relationship Id="rId167" Type="http://schemas.openxmlformats.org/officeDocument/2006/relationships/hyperlink" Target="https://youtu.be/gCGW4239TpI" TargetMode="External"/><Relationship Id="rId1669" Type="http://schemas.openxmlformats.org/officeDocument/2006/relationships/hyperlink" Target="https://youtu.be/m9GBnDJU1iE" TargetMode="External"/><Relationship Id="rId1668" Type="http://schemas.openxmlformats.org/officeDocument/2006/relationships/hyperlink" Target="https://youtu.be/fW5cJ4-uMYc" TargetMode="External"/><Relationship Id="rId1667" Type="http://schemas.openxmlformats.org/officeDocument/2006/relationships/hyperlink" Target="https://youtu.be/sgRuCHiqYUE" TargetMode="External"/><Relationship Id="rId1666" Type="http://schemas.openxmlformats.org/officeDocument/2006/relationships/hyperlink" Target="https://youtu.be/MzUsI4Uf3lc" TargetMode="External"/><Relationship Id="rId1665" Type="http://schemas.openxmlformats.org/officeDocument/2006/relationships/hyperlink" Target="https://youtu.be/N61xawXhdhA" TargetMode="External"/><Relationship Id="rId1664" Type="http://schemas.openxmlformats.org/officeDocument/2006/relationships/hyperlink" Target="https://youtu.be/easkkbaMjd8" TargetMode="External"/><Relationship Id="rId1663" Type="http://schemas.openxmlformats.org/officeDocument/2006/relationships/hyperlink" Target="https://youtu.be/BJGaXzNIrdE" TargetMode="External"/><Relationship Id="rId1662" Type="http://schemas.openxmlformats.org/officeDocument/2006/relationships/hyperlink" Target="https://youtu.be/kEGYewXifT4" TargetMode="External"/><Relationship Id="rId1661" Type="http://schemas.openxmlformats.org/officeDocument/2006/relationships/hyperlink" Target="https://youtu.be/ov7SIYihRmE" TargetMode="External"/><Relationship Id="rId1660" Type="http://schemas.openxmlformats.org/officeDocument/2006/relationships/hyperlink" Target="https://youtu.be/LINQi807FYY" TargetMode="External"/><Relationship Id="rId166" Type="http://schemas.openxmlformats.org/officeDocument/2006/relationships/hyperlink" Target="https://youtu.be/v7k8ISJAUU0" TargetMode="External"/><Relationship Id="rId1659" Type="http://schemas.openxmlformats.org/officeDocument/2006/relationships/hyperlink" Target="https://youtu.be/1bFj2tWds38" TargetMode="External"/><Relationship Id="rId1658" Type="http://schemas.openxmlformats.org/officeDocument/2006/relationships/hyperlink" Target="https://youtu.be/5vfyZtVPvfs" TargetMode="External"/><Relationship Id="rId1657" Type="http://schemas.openxmlformats.org/officeDocument/2006/relationships/hyperlink" Target="https://youtu.be/YGaydIFGwRE" TargetMode="External"/><Relationship Id="rId1656" Type="http://schemas.openxmlformats.org/officeDocument/2006/relationships/hyperlink" Target="https://youtu.be/pxV3TDef_TA" TargetMode="External"/><Relationship Id="rId1655" Type="http://schemas.openxmlformats.org/officeDocument/2006/relationships/hyperlink" Target="https://youtu.be/lif7Ua5tnW0" TargetMode="External"/><Relationship Id="rId1654" Type="http://schemas.openxmlformats.org/officeDocument/2006/relationships/hyperlink" Target="https://youtu.be/vFgsY1GRVkc" TargetMode="External"/><Relationship Id="rId1653" Type="http://schemas.openxmlformats.org/officeDocument/2006/relationships/hyperlink" Target="https://youtu.be/HRhgbHUXKC0" TargetMode="External"/><Relationship Id="rId1652" Type="http://schemas.openxmlformats.org/officeDocument/2006/relationships/hyperlink" Target="https://youtu.be/jETIPwFj29E" TargetMode="External"/><Relationship Id="rId1651" Type="http://schemas.openxmlformats.org/officeDocument/2006/relationships/hyperlink" Target="https://youtu.be/v6KHwAritXM" TargetMode="External"/><Relationship Id="rId1650" Type="http://schemas.openxmlformats.org/officeDocument/2006/relationships/hyperlink" Target="https://youtu.be/A8leW4SPuv0" TargetMode="External"/><Relationship Id="rId165" Type="http://schemas.openxmlformats.org/officeDocument/2006/relationships/hyperlink" Target="https://youtu.be/TrEJdl8kln4" TargetMode="External"/><Relationship Id="rId1649" Type="http://schemas.openxmlformats.org/officeDocument/2006/relationships/hyperlink" Target="https://youtu.be/7hdHDpv_1Fg" TargetMode="External"/><Relationship Id="rId1648" Type="http://schemas.openxmlformats.org/officeDocument/2006/relationships/hyperlink" Target="https://youtu.be/_vkjvcdrVU4" TargetMode="External"/><Relationship Id="rId1647" Type="http://schemas.openxmlformats.org/officeDocument/2006/relationships/hyperlink" Target="https://youtu.be/_chImqQ2Vwg" TargetMode="External"/><Relationship Id="rId1646" Type="http://schemas.openxmlformats.org/officeDocument/2006/relationships/hyperlink" Target="https://youtu.be/JIvgVDQXjz4" TargetMode="External"/><Relationship Id="rId1645" Type="http://schemas.openxmlformats.org/officeDocument/2006/relationships/hyperlink" Target="https://youtu.be/B0QYvV3B1n0" TargetMode="External"/><Relationship Id="rId1644" Type="http://schemas.openxmlformats.org/officeDocument/2006/relationships/hyperlink" Target="https://youtu.be/EmNJDpEr7K8" TargetMode="External"/><Relationship Id="rId1643" Type="http://schemas.openxmlformats.org/officeDocument/2006/relationships/hyperlink" Target="https://youtu.be/-nMEfpGLIOo" TargetMode="External"/><Relationship Id="rId1642" Type="http://schemas.openxmlformats.org/officeDocument/2006/relationships/hyperlink" Target="https://youtu.be/Bsm8iImlStU" TargetMode="External"/><Relationship Id="rId1641" Type="http://schemas.openxmlformats.org/officeDocument/2006/relationships/hyperlink" Target="https://youtu.be/vuzCiuOIzMc" TargetMode="External"/><Relationship Id="rId1640" Type="http://schemas.openxmlformats.org/officeDocument/2006/relationships/hyperlink" Target="https://youtu.be/zKkRuLNypX0" TargetMode="External"/><Relationship Id="rId164" Type="http://schemas.openxmlformats.org/officeDocument/2006/relationships/hyperlink" Target="https://youtu.be/ZV4J94gD_Qw" TargetMode="External"/><Relationship Id="rId1639" Type="http://schemas.openxmlformats.org/officeDocument/2006/relationships/hyperlink" Target="https://youtu.be/BpL2GbtmDT4" TargetMode="External"/><Relationship Id="rId1638" Type="http://schemas.openxmlformats.org/officeDocument/2006/relationships/hyperlink" Target="https://youtu.be/o15VJUBriI4" TargetMode="External"/><Relationship Id="rId1637" Type="http://schemas.openxmlformats.org/officeDocument/2006/relationships/hyperlink" Target="https://youtu.be/WMRSGhqk594" TargetMode="External"/><Relationship Id="rId1636" Type="http://schemas.openxmlformats.org/officeDocument/2006/relationships/hyperlink" Target="https://youtu.be/Qkk6ufuagSA" TargetMode="External"/><Relationship Id="rId1635" Type="http://schemas.openxmlformats.org/officeDocument/2006/relationships/hyperlink" Target="https://youtu.be/Rh-t30jPenk" TargetMode="External"/><Relationship Id="rId1634" Type="http://schemas.openxmlformats.org/officeDocument/2006/relationships/hyperlink" Target="https://youtu.be/3pyaNyH64V4" TargetMode="External"/><Relationship Id="rId1633" Type="http://schemas.openxmlformats.org/officeDocument/2006/relationships/hyperlink" Target="https://youtu.be/R5HMefvGXG0" TargetMode="External"/><Relationship Id="rId1632" Type="http://schemas.openxmlformats.org/officeDocument/2006/relationships/hyperlink" Target="https://youtu.be/DSNyl7zCKgQ" TargetMode="External"/><Relationship Id="rId1631" Type="http://schemas.openxmlformats.org/officeDocument/2006/relationships/hyperlink" Target="https://youtu.be/MDc7E25pYBw" TargetMode="External"/><Relationship Id="rId1630" Type="http://schemas.openxmlformats.org/officeDocument/2006/relationships/hyperlink" Target="https://youtu.be/HuZ8CWuS8iY" TargetMode="External"/><Relationship Id="rId163" Type="http://schemas.openxmlformats.org/officeDocument/2006/relationships/hyperlink" Target="https://youtu.be/V4vy_ntjVng" TargetMode="External"/><Relationship Id="rId1629" Type="http://schemas.openxmlformats.org/officeDocument/2006/relationships/hyperlink" Target="https://youtu.be/-ANFaNFP0nw" TargetMode="External"/><Relationship Id="rId1628" Type="http://schemas.openxmlformats.org/officeDocument/2006/relationships/hyperlink" Target="https://youtu.be/a7LtxeTtSaM" TargetMode="External"/><Relationship Id="rId1627" Type="http://schemas.openxmlformats.org/officeDocument/2006/relationships/hyperlink" Target="https://youtu.be/tCgwgv18Pvo" TargetMode="External"/><Relationship Id="rId1626" Type="http://schemas.openxmlformats.org/officeDocument/2006/relationships/hyperlink" Target="https://youtu.be/9khLHv5afIk" TargetMode="External"/><Relationship Id="rId1625" Type="http://schemas.openxmlformats.org/officeDocument/2006/relationships/hyperlink" Target="https://youtu.be/hgByFMXYzIg" TargetMode="External"/><Relationship Id="rId1624" Type="http://schemas.openxmlformats.org/officeDocument/2006/relationships/hyperlink" Target="https://youtu.be/1DiOocDlesE" TargetMode="External"/><Relationship Id="rId1623" Type="http://schemas.openxmlformats.org/officeDocument/2006/relationships/hyperlink" Target="https://youtu.be/FlGRaYZPBC8" TargetMode="External"/><Relationship Id="rId1622" Type="http://schemas.openxmlformats.org/officeDocument/2006/relationships/hyperlink" Target="https://youtu.be/rwKI_DElY3c" TargetMode="External"/><Relationship Id="rId1621" Type="http://schemas.openxmlformats.org/officeDocument/2006/relationships/hyperlink" Target="https://youtu.be/lWlIkqwOasE" TargetMode="External"/><Relationship Id="rId1620" Type="http://schemas.openxmlformats.org/officeDocument/2006/relationships/hyperlink" Target="https://youtu.be/qyeq0_9D8Wg" TargetMode="External"/><Relationship Id="rId162" Type="http://schemas.openxmlformats.org/officeDocument/2006/relationships/hyperlink" Target="https://youtu.be/KRFXcMGVSwY" TargetMode="External"/><Relationship Id="rId1619" Type="http://schemas.openxmlformats.org/officeDocument/2006/relationships/hyperlink" Target="https://youtu.be/zhvuXG8OVg8" TargetMode="External"/><Relationship Id="rId1618" Type="http://schemas.openxmlformats.org/officeDocument/2006/relationships/hyperlink" Target="https://youtu.be/V5-qnbInLhI" TargetMode="External"/><Relationship Id="rId1617" Type="http://schemas.openxmlformats.org/officeDocument/2006/relationships/hyperlink" Target="https://youtu.be/qM11-Qm5QOQ" TargetMode="External"/><Relationship Id="rId1616" Type="http://schemas.openxmlformats.org/officeDocument/2006/relationships/hyperlink" Target="https://youtu.be/aNtWCDDMTCo" TargetMode="External"/><Relationship Id="rId1615" Type="http://schemas.openxmlformats.org/officeDocument/2006/relationships/hyperlink" Target="https://youtu.be/0S-IVNqjbug" TargetMode="External"/><Relationship Id="rId1614" Type="http://schemas.openxmlformats.org/officeDocument/2006/relationships/hyperlink" Target="https://youtu.be/tTteI1GUyL0" TargetMode="External"/><Relationship Id="rId1613" Type="http://schemas.openxmlformats.org/officeDocument/2006/relationships/hyperlink" Target="https://youtu.be/fPJ1WL5ZThc" TargetMode="External"/><Relationship Id="rId1612" Type="http://schemas.openxmlformats.org/officeDocument/2006/relationships/hyperlink" Target="https://youtu.be/LF30RR2RdvA" TargetMode="External"/><Relationship Id="rId1611" Type="http://schemas.openxmlformats.org/officeDocument/2006/relationships/hyperlink" Target="https://youtu.be/JM1NpvhgeK8" TargetMode="External"/><Relationship Id="rId1610" Type="http://schemas.openxmlformats.org/officeDocument/2006/relationships/hyperlink" Target="https://youtu.be/tBbBBN9Ageo" TargetMode="External"/><Relationship Id="rId161" Type="http://schemas.openxmlformats.org/officeDocument/2006/relationships/hyperlink" Target="https://youtu.be/fXh-tmA9VpA" TargetMode="External"/><Relationship Id="rId1609" Type="http://schemas.openxmlformats.org/officeDocument/2006/relationships/hyperlink" Target="https://youtu.be/EqcFaR8aNCk" TargetMode="External"/><Relationship Id="rId1608" Type="http://schemas.openxmlformats.org/officeDocument/2006/relationships/hyperlink" Target="https://youtu.be/j5nJKp5Ar38" TargetMode="External"/><Relationship Id="rId1607" Type="http://schemas.openxmlformats.org/officeDocument/2006/relationships/hyperlink" Target="https://youtu.be/c5taj-wYhJI" TargetMode="External"/><Relationship Id="rId1606" Type="http://schemas.openxmlformats.org/officeDocument/2006/relationships/hyperlink" Target="https://youtu.be/Ze2fJhIhih0" TargetMode="External"/><Relationship Id="rId1605" Type="http://schemas.openxmlformats.org/officeDocument/2006/relationships/hyperlink" Target="https://youtu.be/xRoi14aYJOM" TargetMode="External"/><Relationship Id="rId1604" Type="http://schemas.openxmlformats.org/officeDocument/2006/relationships/hyperlink" Target="https://youtu.be/uYEtDUEtBZc" TargetMode="External"/><Relationship Id="rId1603" Type="http://schemas.openxmlformats.org/officeDocument/2006/relationships/hyperlink" Target="https://youtu.be/txtgdh8K1Zo" TargetMode="External"/><Relationship Id="rId1602" Type="http://schemas.openxmlformats.org/officeDocument/2006/relationships/hyperlink" Target="https://youtu.be/XjTl8BPk7NQ" TargetMode="External"/><Relationship Id="rId1601" Type="http://schemas.openxmlformats.org/officeDocument/2006/relationships/hyperlink" Target="https://youtu.be/uM-BqF2TIZo" TargetMode="External"/><Relationship Id="rId1600" Type="http://schemas.openxmlformats.org/officeDocument/2006/relationships/hyperlink" Target="https://youtu.be/3HLtTRsPzSA" TargetMode="External"/><Relationship Id="rId160" Type="http://schemas.openxmlformats.org/officeDocument/2006/relationships/hyperlink" Target="https://youtu.be/mdPbpfiODBk" TargetMode="External"/><Relationship Id="rId16" Type="http://schemas.openxmlformats.org/officeDocument/2006/relationships/hyperlink" Target="https://youtu.be/x61JwR6HwCw" TargetMode="External"/><Relationship Id="rId1599" Type="http://schemas.openxmlformats.org/officeDocument/2006/relationships/hyperlink" Target="https://youtu.be/37ETKRYgXrU" TargetMode="External"/><Relationship Id="rId1598" Type="http://schemas.openxmlformats.org/officeDocument/2006/relationships/hyperlink" Target="https://youtu.be/4OTMVMzrfms" TargetMode="External"/><Relationship Id="rId1597" Type="http://schemas.openxmlformats.org/officeDocument/2006/relationships/hyperlink" Target="https://youtu.be/PMFQFhUSCj0" TargetMode="External"/><Relationship Id="rId1596" Type="http://schemas.openxmlformats.org/officeDocument/2006/relationships/hyperlink" Target="https://youtu.be/m2q375mth1w" TargetMode="External"/><Relationship Id="rId1595" Type="http://schemas.openxmlformats.org/officeDocument/2006/relationships/hyperlink" Target="https://youtu.be/X01mL7dbSjw" TargetMode="External"/><Relationship Id="rId1594" Type="http://schemas.openxmlformats.org/officeDocument/2006/relationships/hyperlink" Target="https://youtu.be/_LTBBiHZ4jQ" TargetMode="External"/><Relationship Id="rId1593" Type="http://schemas.openxmlformats.org/officeDocument/2006/relationships/hyperlink" Target="https://youtu.be/DrMPThP7P5E" TargetMode="External"/><Relationship Id="rId1592" Type="http://schemas.openxmlformats.org/officeDocument/2006/relationships/hyperlink" Target="https://youtu.be/axDQ3k7vHVc" TargetMode="External"/><Relationship Id="rId1591" Type="http://schemas.openxmlformats.org/officeDocument/2006/relationships/hyperlink" Target="https://youtu.be/2E5Q-ZucHRc" TargetMode="External"/><Relationship Id="rId1590" Type="http://schemas.openxmlformats.org/officeDocument/2006/relationships/hyperlink" Target="https://youtu.be/0OWdiBNdvpI" TargetMode="External"/><Relationship Id="rId159" Type="http://schemas.openxmlformats.org/officeDocument/2006/relationships/hyperlink" Target="https://youtu.be/iqapIyJBiWo" TargetMode="External"/><Relationship Id="rId1589" Type="http://schemas.openxmlformats.org/officeDocument/2006/relationships/hyperlink" Target="https://youtu.be/1XeKS0MeLsA" TargetMode="External"/><Relationship Id="rId1588" Type="http://schemas.openxmlformats.org/officeDocument/2006/relationships/hyperlink" Target="https://youtu.be/OCBORBjbc-A" TargetMode="External"/><Relationship Id="rId1587" Type="http://schemas.openxmlformats.org/officeDocument/2006/relationships/hyperlink" Target="https://youtu.be/UCVjEKk1TWg" TargetMode="External"/><Relationship Id="rId1586" Type="http://schemas.openxmlformats.org/officeDocument/2006/relationships/hyperlink" Target="https://youtu.be/2Vf5zn5Vgno" TargetMode="External"/><Relationship Id="rId1585" Type="http://schemas.openxmlformats.org/officeDocument/2006/relationships/hyperlink" Target="https://youtu.be/8HaEioEwyzk" TargetMode="External"/><Relationship Id="rId1584" Type="http://schemas.openxmlformats.org/officeDocument/2006/relationships/hyperlink" Target="https://youtu.be/gzNjHW6H09A" TargetMode="External"/><Relationship Id="rId1583" Type="http://schemas.openxmlformats.org/officeDocument/2006/relationships/hyperlink" Target="https://youtu.be/nxhlfBLS8rg" TargetMode="External"/><Relationship Id="rId1582" Type="http://schemas.openxmlformats.org/officeDocument/2006/relationships/hyperlink" Target="https://youtu.be/Su-0mfqHK3c" TargetMode="External"/><Relationship Id="rId1581" Type="http://schemas.openxmlformats.org/officeDocument/2006/relationships/hyperlink" Target="https://youtu.be/im9a9SOiq5k" TargetMode="External"/><Relationship Id="rId1580" Type="http://schemas.openxmlformats.org/officeDocument/2006/relationships/hyperlink" Target="https://youtu.be/EWVutF2hH4I" TargetMode="External"/><Relationship Id="rId158" Type="http://schemas.openxmlformats.org/officeDocument/2006/relationships/hyperlink" Target="https://youtu.be/gWA1hozu_Nk" TargetMode="External"/><Relationship Id="rId1579" Type="http://schemas.openxmlformats.org/officeDocument/2006/relationships/hyperlink" Target="https://youtu.be/6YALaYYPRMc" TargetMode="External"/><Relationship Id="rId1578" Type="http://schemas.openxmlformats.org/officeDocument/2006/relationships/hyperlink" Target="https://youtu.be/z-eeswIoIQ0" TargetMode="External"/><Relationship Id="rId1577" Type="http://schemas.openxmlformats.org/officeDocument/2006/relationships/hyperlink" Target="https://youtu.be/gKldtj6UZKE" TargetMode="External"/><Relationship Id="rId1576" Type="http://schemas.openxmlformats.org/officeDocument/2006/relationships/hyperlink" Target="https://youtu.be/yoXGi6DuA6M" TargetMode="External"/><Relationship Id="rId1575" Type="http://schemas.openxmlformats.org/officeDocument/2006/relationships/hyperlink" Target="https://youtu.be/opBkWnBf1qs" TargetMode="External"/><Relationship Id="rId1574" Type="http://schemas.openxmlformats.org/officeDocument/2006/relationships/hyperlink" Target="https://youtu.be/RP497U1uGIw" TargetMode="External"/><Relationship Id="rId1573" Type="http://schemas.openxmlformats.org/officeDocument/2006/relationships/hyperlink" Target="https://youtu.be/RVQeLGEf7Do" TargetMode="External"/><Relationship Id="rId1572" Type="http://schemas.openxmlformats.org/officeDocument/2006/relationships/hyperlink" Target="https://youtu.be/EacZgVKjDyw" TargetMode="External"/><Relationship Id="rId1571" Type="http://schemas.openxmlformats.org/officeDocument/2006/relationships/hyperlink" Target="https://youtu.be/yW-1RvmWVBA" TargetMode="External"/><Relationship Id="rId1570" Type="http://schemas.openxmlformats.org/officeDocument/2006/relationships/hyperlink" Target="https://youtu.be/gKcbbcDi_XQ" TargetMode="External"/><Relationship Id="rId157" Type="http://schemas.openxmlformats.org/officeDocument/2006/relationships/hyperlink" Target="https://youtu.be/VfE5I8BLZdk" TargetMode="External"/><Relationship Id="rId1569" Type="http://schemas.openxmlformats.org/officeDocument/2006/relationships/hyperlink" Target="https://youtu.be/uuEwgQtPTwc" TargetMode="External"/><Relationship Id="rId1568" Type="http://schemas.openxmlformats.org/officeDocument/2006/relationships/hyperlink" Target="https://youtu.be/VfrdZiXDHZM" TargetMode="External"/><Relationship Id="rId1567" Type="http://schemas.openxmlformats.org/officeDocument/2006/relationships/hyperlink" Target="https://youtu.be/BPi155hKktA" TargetMode="External"/><Relationship Id="rId1566" Type="http://schemas.openxmlformats.org/officeDocument/2006/relationships/hyperlink" Target="https://youtu.be/KhuDBeimgww" TargetMode="External"/><Relationship Id="rId1565" Type="http://schemas.openxmlformats.org/officeDocument/2006/relationships/hyperlink" Target="https://youtu.be/bL0ifDm8IZ4" TargetMode="External"/><Relationship Id="rId1564" Type="http://schemas.openxmlformats.org/officeDocument/2006/relationships/hyperlink" Target="https://youtu.be/KCIgnUO2AWw" TargetMode="External"/><Relationship Id="rId1563" Type="http://schemas.openxmlformats.org/officeDocument/2006/relationships/hyperlink" Target="https://youtu.be/4UHv5woS0mA" TargetMode="External"/><Relationship Id="rId1562" Type="http://schemas.openxmlformats.org/officeDocument/2006/relationships/hyperlink" Target="https://youtu.be/N9hQTF8gPVU" TargetMode="External"/><Relationship Id="rId1561" Type="http://schemas.openxmlformats.org/officeDocument/2006/relationships/hyperlink" Target="https://youtu.be/MUn0mP7LwcI" TargetMode="External"/><Relationship Id="rId1560" Type="http://schemas.openxmlformats.org/officeDocument/2006/relationships/hyperlink" Target="https://youtu.be/K_x6OJ-yvs0" TargetMode="External"/><Relationship Id="rId156" Type="http://schemas.openxmlformats.org/officeDocument/2006/relationships/hyperlink" Target="https://youtu.be/E8Z7oOKW-68" TargetMode="External"/><Relationship Id="rId1559" Type="http://schemas.openxmlformats.org/officeDocument/2006/relationships/hyperlink" Target="https://youtu.be/xeOaipcNFac" TargetMode="External"/><Relationship Id="rId1558" Type="http://schemas.openxmlformats.org/officeDocument/2006/relationships/hyperlink" Target="https://youtu.be/7WouER2jb5o" TargetMode="External"/><Relationship Id="rId1557" Type="http://schemas.openxmlformats.org/officeDocument/2006/relationships/hyperlink" Target="https://youtu.be/kom22OHv_3g" TargetMode="External"/><Relationship Id="rId1556" Type="http://schemas.openxmlformats.org/officeDocument/2006/relationships/hyperlink" Target="https://youtu.be/p8xx6u7ddL0" TargetMode="External"/><Relationship Id="rId1555" Type="http://schemas.openxmlformats.org/officeDocument/2006/relationships/hyperlink" Target="https://youtu.be/ggX0jxxxocI" TargetMode="External"/><Relationship Id="rId1554" Type="http://schemas.openxmlformats.org/officeDocument/2006/relationships/hyperlink" Target="https://youtu.be/HYcsCzjWe3Q" TargetMode="External"/><Relationship Id="rId1553" Type="http://schemas.openxmlformats.org/officeDocument/2006/relationships/hyperlink" Target="https://youtu.be/AsBZSZrzWDg" TargetMode="External"/><Relationship Id="rId1552" Type="http://schemas.openxmlformats.org/officeDocument/2006/relationships/hyperlink" Target="https://youtu.be/X5xEKQWpU9M" TargetMode="External"/><Relationship Id="rId1551" Type="http://schemas.openxmlformats.org/officeDocument/2006/relationships/hyperlink" Target="https://youtu.be/kuIwF1Ex1pU" TargetMode="External"/><Relationship Id="rId1550" Type="http://schemas.openxmlformats.org/officeDocument/2006/relationships/hyperlink" Target="https://youtu.be/pllw0lEK-bs" TargetMode="External"/><Relationship Id="rId155" Type="http://schemas.openxmlformats.org/officeDocument/2006/relationships/hyperlink" Target="https://youtu.be/v1udH-w7TRo" TargetMode="External"/><Relationship Id="rId1549" Type="http://schemas.openxmlformats.org/officeDocument/2006/relationships/hyperlink" Target="https://youtu.be/fnyCBRDcZjk" TargetMode="External"/><Relationship Id="rId1548" Type="http://schemas.openxmlformats.org/officeDocument/2006/relationships/hyperlink" Target="https://youtu.be/jqGUco8zzPs" TargetMode="External"/><Relationship Id="rId1547" Type="http://schemas.openxmlformats.org/officeDocument/2006/relationships/hyperlink" Target="https://youtu.be/9zf9pK5-3ew" TargetMode="External"/><Relationship Id="rId1546" Type="http://schemas.openxmlformats.org/officeDocument/2006/relationships/hyperlink" Target="https://youtu.be/_-KS-mJX858" TargetMode="External"/><Relationship Id="rId1545" Type="http://schemas.openxmlformats.org/officeDocument/2006/relationships/hyperlink" Target="https://youtu.be/Z8ILNPh3Rbo" TargetMode="External"/><Relationship Id="rId1544" Type="http://schemas.openxmlformats.org/officeDocument/2006/relationships/hyperlink" Target="https://youtu.be/JA9eH2Pryis" TargetMode="External"/><Relationship Id="rId1543" Type="http://schemas.openxmlformats.org/officeDocument/2006/relationships/hyperlink" Target="https://youtu.be/wNMsKKN4m9k" TargetMode="External"/><Relationship Id="rId1542" Type="http://schemas.openxmlformats.org/officeDocument/2006/relationships/hyperlink" Target="https://youtu.be/-uDljmYqy1U" TargetMode="External"/><Relationship Id="rId1541" Type="http://schemas.openxmlformats.org/officeDocument/2006/relationships/hyperlink" Target="https://youtu.be/7PgtHWHRrXE" TargetMode="External"/><Relationship Id="rId1540" Type="http://schemas.openxmlformats.org/officeDocument/2006/relationships/hyperlink" Target="https://youtu.be/gP-kirqjAwE" TargetMode="External"/><Relationship Id="rId154" Type="http://schemas.openxmlformats.org/officeDocument/2006/relationships/hyperlink" Target="https://youtu.be/ghjGp-_-tQo" TargetMode="External"/><Relationship Id="rId1539" Type="http://schemas.openxmlformats.org/officeDocument/2006/relationships/hyperlink" Target="https://youtu.be/THOgjdP9I7Y" TargetMode="External"/><Relationship Id="rId1538" Type="http://schemas.openxmlformats.org/officeDocument/2006/relationships/hyperlink" Target="https://youtu.be/qUBzpzboYLI" TargetMode="External"/><Relationship Id="rId1537" Type="http://schemas.openxmlformats.org/officeDocument/2006/relationships/hyperlink" Target="https://youtu.be/cgreS7wi2fg" TargetMode="External"/><Relationship Id="rId1536" Type="http://schemas.openxmlformats.org/officeDocument/2006/relationships/hyperlink" Target="https://youtu.be/ysVeRSUHflM" TargetMode="External"/><Relationship Id="rId1535" Type="http://schemas.openxmlformats.org/officeDocument/2006/relationships/hyperlink" Target="https://youtu.be/RQGi2talj6E" TargetMode="External"/><Relationship Id="rId1534" Type="http://schemas.openxmlformats.org/officeDocument/2006/relationships/hyperlink" Target="https://youtu.be/qJ229mP4eIo" TargetMode="External"/><Relationship Id="rId1533" Type="http://schemas.openxmlformats.org/officeDocument/2006/relationships/hyperlink" Target="https://youtu.be/0jkErVV06wk" TargetMode="External"/><Relationship Id="rId1532" Type="http://schemas.openxmlformats.org/officeDocument/2006/relationships/hyperlink" Target="https://youtu.be/k1eP5RBv8XI" TargetMode="External"/><Relationship Id="rId1531" Type="http://schemas.openxmlformats.org/officeDocument/2006/relationships/hyperlink" Target="https://youtu.be/rUks2BROvWg" TargetMode="External"/><Relationship Id="rId1530" Type="http://schemas.openxmlformats.org/officeDocument/2006/relationships/hyperlink" Target="https://youtu.be/St0vwbj9moY" TargetMode="External"/><Relationship Id="rId153" Type="http://schemas.openxmlformats.org/officeDocument/2006/relationships/hyperlink" Target="https://youtu.be/deKkd6EKolo" TargetMode="External"/><Relationship Id="rId1529" Type="http://schemas.openxmlformats.org/officeDocument/2006/relationships/hyperlink" Target="https://youtu.be/nNo45yJyqxw" TargetMode="External"/><Relationship Id="rId1528" Type="http://schemas.openxmlformats.org/officeDocument/2006/relationships/hyperlink" Target="https://youtu.be/UnqGRsF0bWo" TargetMode="External"/><Relationship Id="rId1527" Type="http://schemas.openxmlformats.org/officeDocument/2006/relationships/hyperlink" Target="https://youtu.be/LuT0UHOvE50" TargetMode="External"/><Relationship Id="rId1526" Type="http://schemas.openxmlformats.org/officeDocument/2006/relationships/hyperlink" Target="https://youtu.be/r15QlpFchbQ" TargetMode="External"/><Relationship Id="rId1525" Type="http://schemas.openxmlformats.org/officeDocument/2006/relationships/hyperlink" Target="https://youtu.be/oYdkLm9f1QQ" TargetMode="External"/><Relationship Id="rId1524" Type="http://schemas.openxmlformats.org/officeDocument/2006/relationships/hyperlink" Target="https://youtu.be/Ts7O1yZQwOM" TargetMode="External"/><Relationship Id="rId1523" Type="http://schemas.openxmlformats.org/officeDocument/2006/relationships/hyperlink" Target="https://youtu.be/3zr_3CWLamo" TargetMode="External"/><Relationship Id="rId1522" Type="http://schemas.openxmlformats.org/officeDocument/2006/relationships/hyperlink" Target="https://youtu.be/sn8vqr3WCYo" TargetMode="External"/><Relationship Id="rId1521" Type="http://schemas.openxmlformats.org/officeDocument/2006/relationships/hyperlink" Target="https://youtu.be/W7AsV2M1PoA" TargetMode="External"/><Relationship Id="rId1520" Type="http://schemas.openxmlformats.org/officeDocument/2006/relationships/hyperlink" Target="https://youtu.be/A5NAPVGlmUY" TargetMode="External"/><Relationship Id="rId152" Type="http://schemas.openxmlformats.org/officeDocument/2006/relationships/hyperlink" Target="https://youtu.be/eDnZT06Sqfs" TargetMode="External"/><Relationship Id="rId1519" Type="http://schemas.openxmlformats.org/officeDocument/2006/relationships/hyperlink" Target="https://youtu.be/sKqp9m5YkIc" TargetMode="External"/><Relationship Id="rId1518" Type="http://schemas.openxmlformats.org/officeDocument/2006/relationships/hyperlink" Target="https://youtu.be/N-2jpHjcNWk" TargetMode="External"/><Relationship Id="rId1517" Type="http://schemas.openxmlformats.org/officeDocument/2006/relationships/hyperlink" Target="https://youtu.be/KP-hjV4anUk" TargetMode="External"/><Relationship Id="rId1516" Type="http://schemas.openxmlformats.org/officeDocument/2006/relationships/hyperlink" Target="https://youtu.be/mRh4TmKEZUw" TargetMode="External"/><Relationship Id="rId1515" Type="http://schemas.openxmlformats.org/officeDocument/2006/relationships/hyperlink" Target="https://youtu.be/yTFL881jaMo" TargetMode="External"/><Relationship Id="rId1514" Type="http://schemas.openxmlformats.org/officeDocument/2006/relationships/hyperlink" Target="https://youtu.be/AS4d1FQmj-w" TargetMode="External"/><Relationship Id="rId1513" Type="http://schemas.openxmlformats.org/officeDocument/2006/relationships/hyperlink" Target="https://youtu.be/4AhO0Aqa2rQ" TargetMode="External"/><Relationship Id="rId1512" Type="http://schemas.openxmlformats.org/officeDocument/2006/relationships/hyperlink" Target="https://youtu.be/l82qSyz_3lc" TargetMode="External"/><Relationship Id="rId1511" Type="http://schemas.openxmlformats.org/officeDocument/2006/relationships/hyperlink" Target="https://youtu.be/stn1itXZd4Q" TargetMode="External"/><Relationship Id="rId1510" Type="http://schemas.openxmlformats.org/officeDocument/2006/relationships/hyperlink" Target="https://youtu.be/XX7-yFeyZH4" TargetMode="External"/><Relationship Id="rId151" Type="http://schemas.openxmlformats.org/officeDocument/2006/relationships/hyperlink" Target="https://youtu.be/YijM6IkuasE" TargetMode="External"/><Relationship Id="rId1509" Type="http://schemas.openxmlformats.org/officeDocument/2006/relationships/hyperlink" Target="https://youtu.be/I5v2dhGRu2w" TargetMode="External"/><Relationship Id="rId1508" Type="http://schemas.openxmlformats.org/officeDocument/2006/relationships/hyperlink" Target="https://youtu.be/NhOkuMYy_wY" TargetMode="External"/><Relationship Id="rId1507" Type="http://schemas.openxmlformats.org/officeDocument/2006/relationships/hyperlink" Target="https://youtu.be/9fiUYbitL88" TargetMode="External"/><Relationship Id="rId1506" Type="http://schemas.openxmlformats.org/officeDocument/2006/relationships/hyperlink" Target="https://youtu.be/fjwcssuUb5Y" TargetMode="External"/><Relationship Id="rId1505" Type="http://schemas.openxmlformats.org/officeDocument/2006/relationships/hyperlink" Target="https://youtu.be/UihABM410w8" TargetMode="External"/><Relationship Id="rId1504" Type="http://schemas.openxmlformats.org/officeDocument/2006/relationships/hyperlink" Target="https://youtu.be/szvEdc3Vnpw" TargetMode="External"/><Relationship Id="rId1503" Type="http://schemas.openxmlformats.org/officeDocument/2006/relationships/hyperlink" Target="https://youtu.be/llgl_rhe4vg" TargetMode="External"/><Relationship Id="rId1502" Type="http://schemas.openxmlformats.org/officeDocument/2006/relationships/hyperlink" Target="https://youtu.be/3xV2icSF2T8" TargetMode="External"/><Relationship Id="rId1501" Type="http://schemas.openxmlformats.org/officeDocument/2006/relationships/hyperlink" Target="https://youtu.be/EOpZNPvj-PA" TargetMode="External"/><Relationship Id="rId1500" Type="http://schemas.openxmlformats.org/officeDocument/2006/relationships/hyperlink" Target="https://youtu.be/M3s6eJ1ocbI" TargetMode="External"/><Relationship Id="rId150" Type="http://schemas.openxmlformats.org/officeDocument/2006/relationships/hyperlink" Target="https://youtu.be/OwdbAzEeUDY" TargetMode="External"/><Relationship Id="rId15" Type="http://schemas.openxmlformats.org/officeDocument/2006/relationships/hyperlink" Target="https://youtu.be/tizJ-w3lljY" TargetMode="External"/><Relationship Id="rId1499" Type="http://schemas.openxmlformats.org/officeDocument/2006/relationships/hyperlink" Target="https://youtu.be/k7ir25YuZHA" TargetMode="External"/><Relationship Id="rId1498" Type="http://schemas.openxmlformats.org/officeDocument/2006/relationships/hyperlink" Target="https://youtu.be/mwpgm-RgLaM" TargetMode="External"/><Relationship Id="rId1497" Type="http://schemas.openxmlformats.org/officeDocument/2006/relationships/hyperlink" Target="https://youtu.be/cOfU4xFk-6k" TargetMode="External"/><Relationship Id="rId1496" Type="http://schemas.openxmlformats.org/officeDocument/2006/relationships/hyperlink" Target="https://youtu.be/jzw92KSlpA0" TargetMode="External"/><Relationship Id="rId1495" Type="http://schemas.openxmlformats.org/officeDocument/2006/relationships/hyperlink" Target="https://youtu.be/0qgGRhlJ2UY" TargetMode="External"/><Relationship Id="rId1494" Type="http://schemas.openxmlformats.org/officeDocument/2006/relationships/hyperlink" Target="https://youtu.be/QlvNbRfuGxk" TargetMode="External"/><Relationship Id="rId1493" Type="http://schemas.openxmlformats.org/officeDocument/2006/relationships/hyperlink" Target="https://youtu.be/k1A2XpIc2No" TargetMode="External"/><Relationship Id="rId1492" Type="http://schemas.openxmlformats.org/officeDocument/2006/relationships/hyperlink" Target="https://youtu.be/ehrekVROQ3Y" TargetMode="External"/><Relationship Id="rId1491" Type="http://schemas.openxmlformats.org/officeDocument/2006/relationships/hyperlink" Target="https://youtu.be/j70cDeDy9d4" TargetMode="External"/><Relationship Id="rId1490" Type="http://schemas.openxmlformats.org/officeDocument/2006/relationships/hyperlink" Target="https://youtu.be/PHElawLRSHk" TargetMode="External"/><Relationship Id="rId149" Type="http://schemas.openxmlformats.org/officeDocument/2006/relationships/hyperlink" Target="https://youtu.be/pT7HBU8_G0I" TargetMode="External"/><Relationship Id="rId1489" Type="http://schemas.openxmlformats.org/officeDocument/2006/relationships/hyperlink" Target="https://youtu.be/5QH8O-D0ZVM" TargetMode="External"/><Relationship Id="rId1488" Type="http://schemas.openxmlformats.org/officeDocument/2006/relationships/hyperlink" Target="https://youtu.be/zuBoToo3t_U" TargetMode="External"/><Relationship Id="rId1487" Type="http://schemas.openxmlformats.org/officeDocument/2006/relationships/hyperlink" Target="https://youtu.be/vy0w15iY3nA" TargetMode="External"/><Relationship Id="rId1486" Type="http://schemas.openxmlformats.org/officeDocument/2006/relationships/hyperlink" Target="https://youtu.be/dKJ0tPJSN6c" TargetMode="External"/><Relationship Id="rId1485" Type="http://schemas.openxmlformats.org/officeDocument/2006/relationships/hyperlink" Target="https://youtu.be/SmF4TLFJACs" TargetMode="External"/><Relationship Id="rId1484" Type="http://schemas.openxmlformats.org/officeDocument/2006/relationships/hyperlink" Target="https://youtu.be/eu5V2ltWMsA" TargetMode="External"/><Relationship Id="rId1483" Type="http://schemas.openxmlformats.org/officeDocument/2006/relationships/hyperlink" Target="https://youtu.be/MGXYnmmrwKs" TargetMode="External"/><Relationship Id="rId1482" Type="http://schemas.openxmlformats.org/officeDocument/2006/relationships/hyperlink" Target="https://youtu.be/9eh4dTNOjQg" TargetMode="External"/><Relationship Id="rId1481" Type="http://schemas.openxmlformats.org/officeDocument/2006/relationships/hyperlink" Target="https://youtu.be/kG2TYs1WeNQ" TargetMode="External"/><Relationship Id="rId1480" Type="http://schemas.openxmlformats.org/officeDocument/2006/relationships/hyperlink" Target="https://youtu.be/hHZfNJlzipg" TargetMode="External"/><Relationship Id="rId148" Type="http://schemas.openxmlformats.org/officeDocument/2006/relationships/hyperlink" Target="https://youtu.be/5n8AY-k-Su4" TargetMode="External"/><Relationship Id="rId1479" Type="http://schemas.openxmlformats.org/officeDocument/2006/relationships/hyperlink" Target="https://youtu.be/Npo7kkIkqXg" TargetMode="External"/><Relationship Id="rId1478" Type="http://schemas.openxmlformats.org/officeDocument/2006/relationships/hyperlink" Target="https://youtu.be/x3n4ruAVw1U" TargetMode="External"/><Relationship Id="rId1477" Type="http://schemas.openxmlformats.org/officeDocument/2006/relationships/hyperlink" Target="https://youtu.be/jsLwkhIlDY4" TargetMode="External"/><Relationship Id="rId1476" Type="http://schemas.openxmlformats.org/officeDocument/2006/relationships/hyperlink" Target="https://youtu.be/_AmM8LTK63Q" TargetMode="External"/><Relationship Id="rId1475" Type="http://schemas.openxmlformats.org/officeDocument/2006/relationships/hyperlink" Target="https://youtu.be/4gO-ea80S_Y" TargetMode="External"/><Relationship Id="rId1474" Type="http://schemas.openxmlformats.org/officeDocument/2006/relationships/hyperlink" Target="https://youtu.be/XAOr9qy2rpE" TargetMode="External"/><Relationship Id="rId1473" Type="http://schemas.openxmlformats.org/officeDocument/2006/relationships/hyperlink" Target="https://youtu.be/e3WtfL6kZ_c" TargetMode="External"/><Relationship Id="rId1472" Type="http://schemas.openxmlformats.org/officeDocument/2006/relationships/hyperlink" Target="https://youtu.be/2oQ4cnmhS9w" TargetMode="External"/><Relationship Id="rId1471" Type="http://schemas.openxmlformats.org/officeDocument/2006/relationships/hyperlink" Target="https://youtu.be/DtlBoTaSQJM" TargetMode="External"/><Relationship Id="rId1470" Type="http://schemas.openxmlformats.org/officeDocument/2006/relationships/hyperlink" Target="https://youtu.be/qI5G2ku2v6Y" TargetMode="External"/><Relationship Id="rId147" Type="http://schemas.openxmlformats.org/officeDocument/2006/relationships/hyperlink" Target="https://youtu.be/-sjn5jDpDjg" TargetMode="External"/><Relationship Id="rId1469" Type="http://schemas.openxmlformats.org/officeDocument/2006/relationships/hyperlink" Target="https://youtu.be/ZWdMQSQHksc" TargetMode="External"/><Relationship Id="rId1468" Type="http://schemas.openxmlformats.org/officeDocument/2006/relationships/hyperlink" Target="https://youtu.be/JasogFtey7U" TargetMode="External"/><Relationship Id="rId1467" Type="http://schemas.openxmlformats.org/officeDocument/2006/relationships/hyperlink" Target="https://youtu.be/SG59_tNsFYU" TargetMode="External"/><Relationship Id="rId1466" Type="http://schemas.openxmlformats.org/officeDocument/2006/relationships/hyperlink" Target="https://youtu.be/gRigtfgvrKY" TargetMode="External"/><Relationship Id="rId1465" Type="http://schemas.openxmlformats.org/officeDocument/2006/relationships/hyperlink" Target="https://youtu.be/ga8QzVb5qgM" TargetMode="External"/><Relationship Id="rId1464" Type="http://schemas.openxmlformats.org/officeDocument/2006/relationships/hyperlink" Target="https://youtu.be/X_VwQDHKqLE" TargetMode="External"/><Relationship Id="rId1463" Type="http://schemas.openxmlformats.org/officeDocument/2006/relationships/hyperlink" Target="https://youtu.be/lQ3Wwsdmvk0" TargetMode="External"/><Relationship Id="rId1462" Type="http://schemas.openxmlformats.org/officeDocument/2006/relationships/hyperlink" Target="https://youtu.be/55J-oCZPFls" TargetMode="External"/><Relationship Id="rId1461" Type="http://schemas.openxmlformats.org/officeDocument/2006/relationships/hyperlink" Target="https://youtu.be/eO6E2AQzZQ0" TargetMode="External"/><Relationship Id="rId1460" Type="http://schemas.openxmlformats.org/officeDocument/2006/relationships/hyperlink" Target="https://youtu.be/eUPeGKeb5Tc" TargetMode="External"/><Relationship Id="rId146" Type="http://schemas.openxmlformats.org/officeDocument/2006/relationships/hyperlink" Target="https://youtu.be/TJbsoIKwkTg" TargetMode="External"/><Relationship Id="rId1459" Type="http://schemas.openxmlformats.org/officeDocument/2006/relationships/hyperlink" Target="https://youtu.be/h_sSc6hTjMk" TargetMode="External"/><Relationship Id="rId1458" Type="http://schemas.openxmlformats.org/officeDocument/2006/relationships/hyperlink" Target="https://youtu.be/6EW_DWB-Ea8" TargetMode="External"/><Relationship Id="rId1457" Type="http://schemas.openxmlformats.org/officeDocument/2006/relationships/hyperlink" Target="https://youtu.be/f_dfjy2B5bo" TargetMode="External"/><Relationship Id="rId1456" Type="http://schemas.openxmlformats.org/officeDocument/2006/relationships/hyperlink" Target="https://youtu.be/xy_Hd95_-UA" TargetMode="External"/><Relationship Id="rId1455" Type="http://schemas.openxmlformats.org/officeDocument/2006/relationships/hyperlink" Target="https://youtu.be/o5P1HKAMiDQ" TargetMode="External"/><Relationship Id="rId1454" Type="http://schemas.openxmlformats.org/officeDocument/2006/relationships/hyperlink" Target="https://youtu.be/2AEUesjTeNM" TargetMode="External"/><Relationship Id="rId1453" Type="http://schemas.openxmlformats.org/officeDocument/2006/relationships/hyperlink" Target="https://youtu.be/oya-oPxxCqA" TargetMode="External"/><Relationship Id="rId1452" Type="http://schemas.openxmlformats.org/officeDocument/2006/relationships/hyperlink" Target="https://youtu.be/K0kMxTpRo_Y" TargetMode="External"/><Relationship Id="rId1451" Type="http://schemas.openxmlformats.org/officeDocument/2006/relationships/hyperlink" Target="https://youtu.be/ul7aDObjDlw" TargetMode="External"/><Relationship Id="rId1450" Type="http://schemas.openxmlformats.org/officeDocument/2006/relationships/hyperlink" Target="https://youtu.be/iC7f20bCSHA" TargetMode="External"/><Relationship Id="rId145" Type="http://schemas.openxmlformats.org/officeDocument/2006/relationships/hyperlink" Target="https://youtu.be/2y2gW-_curw" TargetMode="External"/><Relationship Id="rId1449" Type="http://schemas.openxmlformats.org/officeDocument/2006/relationships/hyperlink" Target="https://youtu.be/RGG5wxM6QfY" TargetMode="External"/><Relationship Id="rId1448" Type="http://schemas.openxmlformats.org/officeDocument/2006/relationships/hyperlink" Target="https://youtu.be/lR5zQtDhj9M" TargetMode="External"/><Relationship Id="rId1447" Type="http://schemas.openxmlformats.org/officeDocument/2006/relationships/hyperlink" Target="https://youtu.be/ZOdejadSgaw" TargetMode="External"/><Relationship Id="rId1446" Type="http://schemas.openxmlformats.org/officeDocument/2006/relationships/hyperlink" Target="https://youtu.be/45UAX5U892Q" TargetMode="External"/><Relationship Id="rId1445" Type="http://schemas.openxmlformats.org/officeDocument/2006/relationships/hyperlink" Target="https://youtu.be/MlTmMwvToRc" TargetMode="External"/><Relationship Id="rId1444" Type="http://schemas.openxmlformats.org/officeDocument/2006/relationships/hyperlink" Target="https://youtu.be/RxFwUG9PiYM" TargetMode="External"/><Relationship Id="rId1443" Type="http://schemas.openxmlformats.org/officeDocument/2006/relationships/hyperlink" Target="https://youtu.be/1xfmxhFLaGM" TargetMode="External"/><Relationship Id="rId1442" Type="http://schemas.openxmlformats.org/officeDocument/2006/relationships/hyperlink" Target="https://youtu.be/NpmqK24SCvI" TargetMode="External"/><Relationship Id="rId1441" Type="http://schemas.openxmlformats.org/officeDocument/2006/relationships/hyperlink" Target="https://youtu.be/4Zjceqkrtjo" TargetMode="External"/><Relationship Id="rId1440" Type="http://schemas.openxmlformats.org/officeDocument/2006/relationships/hyperlink" Target="https://youtu.be/4-1Oo8OfqHg" TargetMode="External"/><Relationship Id="rId144" Type="http://schemas.openxmlformats.org/officeDocument/2006/relationships/hyperlink" Target="https://youtu.be/ndb9Y_bREKg" TargetMode="External"/><Relationship Id="rId1439" Type="http://schemas.openxmlformats.org/officeDocument/2006/relationships/hyperlink" Target="https://youtu.be/_ZmQ5jv_VDU" TargetMode="External"/><Relationship Id="rId1438" Type="http://schemas.openxmlformats.org/officeDocument/2006/relationships/hyperlink" Target="https://youtu.be/jUHaPzKMxHg" TargetMode="External"/><Relationship Id="rId1437" Type="http://schemas.openxmlformats.org/officeDocument/2006/relationships/hyperlink" Target="https://youtu.be/81U6k5pHG84" TargetMode="External"/><Relationship Id="rId1436" Type="http://schemas.openxmlformats.org/officeDocument/2006/relationships/hyperlink" Target="https://youtu.be/Op-fCpNGWt4" TargetMode="External"/><Relationship Id="rId1435" Type="http://schemas.openxmlformats.org/officeDocument/2006/relationships/hyperlink" Target="https://youtu.be/Ycs7ZiznzEk" TargetMode="External"/><Relationship Id="rId1434" Type="http://schemas.openxmlformats.org/officeDocument/2006/relationships/hyperlink" Target="https://youtu.be/zpj5Ufw2Cvs" TargetMode="External"/><Relationship Id="rId1433" Type="http://schemas.openxmlformats.org/officeDocument/2006/relationships/hyperlink" Target="https://youtu.be/iFnGDI1YgpE" TargetMode="External"/><Relationship Id="rId1432" Type="http://schemas.openxmlformats.org/officeDocument/2006/relationships/hyperlink" Target="https://youtu.be/5nD8F5dx6nc" TargetMode="External"/><Relationship Id="rId1431" Type="http://schemas.openxmlformats.org/officeDocument/2006/relationships/hyperlink" Target="https://youtu.be/f3fMJmoX-2Y" TargetMode="External"/><Relationship Id="rId1430" Type="http://schemas.openxmlformats.org/officeDocument/2006/relationships/hyperlink" Target="https://youtu.be/Ui-ehJlGM1Q" TargetMode="External"/><Relationship Id="rId143" Type="http://schemas.openxmlformats.org/officeDocument/2006/relationships/hyperlink" Target="https://youtu.be/lbl50JJyf7A" TargetMode="External"/><Relationship Id="rId1429" Type="http://schemas.openxmlformats.org/officeDocument/2006/relationships/hyperlink" Target="https://youtu.be/O3t8X0g2iTA" TargetMode="External"/><Relationship Id="rId1428" Type="http://schemas.openxmlformats.org/officeDocument/2006/relationships/hyperlink" Target="https://youtu.be/_VQ32fjAQts" TargetMode="External"/><Relationship Id="rId1427" Type="http://schemas.openxmlformats.org/officeDocument/2006/relationships/hyperlink" Target="https://youtu.be/BCaDkI8A0RM" TargetMode="External"/><Relationship Id="rId1426" Type="http://schemas.openxmlformats.org/officeDocument/2006/relationships/hyperlink" Target="https://youtu.be/cWR_MHkuBMU" TargetMode="External"/><Relationship Id="rId1425" Type="http://schemas.openxmlformats.org/officeDocument/2006/relationships/hyperlink" Target="https://youtu.be/tr-yTbWuhWE" TargetMode="External"/><Relationship Id="rId1424" Type="http://schemas.openxmlformats.org/officeDocument/2006/relationships/hyperlink" Target="https://youtu.be/YLNWttnnCl0" TargetMode="External"/><Relationship Id="rId1423" Type="http://schemas.openxmlformats.org/officeDocument/2006/relationships/hyperlink" Target="https://youtu.be/gZZV4yZCcEQ" TargetMode="External"/><Relationship Id="rId1422" Type="http://schemas.openxmlformats.org/officeDocument/2006/relationships/hyperlink" Target="https://youtu.be/pFDpwGcQ96o" TargetMode="External"/><Relationship Id="rId1421" Type="http://schemas.openxmlformats.org/officeDocument/2006/relationships/hyperlink" Target="https://youtu.be/_6SH1xqmEfM" TargetMode="External"/><Relationship Id="rId1420" Type="http://schemas.openxmlformats.org/officeDocument/2006/relationships/hyperlink" Target="https://youtu.be/6qMPLydUbuM" TargetMode="External"/><Relationship Id="rId142" Type="http://schemas.openxmlformats.org/officeDocument/2006/relationships/hyperlink" Target="https://youtu.be/3wUR9CDiBBc" TargetMode="External"/><Relationship Id="rId1419" Type="http://schemas.openxmlformats.org/officeDocument/2006/relationships/hyperlink" Target="https://youtu.be/doGcMijgWx4" TargetMode="External"/><Relationship Id="rId1418" Type="http://schemas.openxmlformats.org/officeDocument/2006/relationships/hyperlink" Target="https://youtu.be/RdFkrbE6990" TargetMode="External"/><Relationship Id="rId1417" Type="http://schemas.openxmlformats.org/officeDocument/2006/relationships/hyperlink" Target="https://youtu.be/wgRPdK_hTis" TargetMode="External"/><Relationship Id="rId1416" Type="http://schemas.openxmlformats.org/officeDocument/2006/relationships/hyperlink" Target="https://youtu.be/F-ougZG5u5U" TargetMode="External"/><Relationship Id="rId1415" Type="http://schemas.openxmlformats.org/officeDocument/2006/relationships/hyperlink" Target="https://youtu.be/sXFgdvsGq0g" TargetMode="External"/><Relationship Id="rId1414" Type="http://schemas.openxmlformats.org/officeDocument/2006/relationships/hyperlink" Target="https://youtu.be/6n4gcpClC8I" TargetMode="External"/><Relationship Id="rId1413" Type="http://schemas.openxmlformats.org/officeDocument/2006/relationships/hyperlink" Target="https://youtu.be/EH3h1_hL1j8" TargetMode="External"/><Relationship Id="rId1412" Type="http://schemas.openxmlformats.org/officeDocument/2006/relationships/hyperlink" Target="https://youtu.be/z0IxYhdPXwI" TargetMode="External"/><Relationship Id="rId1411" Type="http://schemas.openxmlformats.org/officeDocument/2006/relationships/hyperlink" Target="https://youtu.be/X6scZokG9zU" TargetMode="External"/><Relationship Id="rId1410" Type="http://schemas.openxmlformats.org/officeDocument/2006/relationships/hyperlink" Target="https://youtu.be/W5w_eo52Wmg" TargetMode="External"/><Relationship Id="rId141" Type="http://schemas.openxmlformats.org/officeDocument/2006/relationships/hyperlink" Target="https://youtu.be/g7vi6AVVdu8" TargetMode="External"/><Relationship Id="rId1409" Type="http://schemas.openxmlformats.org/officeDocument/2006/relationships/hyperlink" Target="https://youtu.be/-mANx1VcJbo" TargetMode="External"/><Relationship Id="rId1408" Type="http://schemas.openxmlformats.org/officeDocument/2006/relationships/hyperlink" Target="https://youtu.be/a4CQ2jssTyY" TargetMode="External"/><Relationship Id="rId1407" Type="http://schemas.openxmlformats.org/officeDocument/2006/relationships/hyperlink" Target="https://youtu.be/xQ5-DqcrAyQ" TargetMode="External"/><Relationship Id="rId1406" Type="http://schemas.openxmlformats.org/officeDocument/2006/relationships/hyperlink" Target="https://youtu.be/Y4rGWp25CL8" TargetMode="External"/><Relationship Id="rId1405" Type="http://schemas.openxmlformats.org/officeDocument/2006/relationships/hyperlink" Target="https://youtu.be/vNvhSfmCAtQ" TargetMode="External"/><Relationship Id="rId1404" Type="http://schemas.openxmlformats.org/officeDocument/2006/relationships/hyperlink" Target="https://youtu.be/X47raRdRSBA" TargetMode="External"/><Relationship Id="rId1403" Type="http://schemas.openxmlformats.org/officeDocument/2006/relationships/hyperlink" Target="https://youtu.be/Z9hKDFxA9UA" TargetMode="External"/><Relationship Id="rId1402" Type="http://schemas.openxmlformats.org/officeDocument/2006/relationships/hyperlink" Target="https://youtu.be/x04QbxB7CZM" TargetMode="External"/><Relationship Id="rId1401" Type="http://schemas.openxmlformats.org/officeDocument/2006/relationships/hyperlink" Target="https://youtu.be/YoWWfYzAC60" TargetMode="External"/><Relationship Id="rId1400" Type="http://schemas.openxmlformats.org/officeDocument/2006/relationships/hyperlink" Target="https://youtu.be/vf_8x5kG4EU" TargetMode="External"/><Relationship Id="rId140" Type="http://schemas.openxmlformats.org/officeDocument/2006/relationships/hyperlink" Target="https://youtu.be/BTGSb_vhHpA" TargetMode="External"/><Relationship Id="rId14" Type="http://schemas.openxmlformats.org/officeDocument/2006/relationships/hyperlink" Target="https://youtu.be/PbYHh1gvt08" TargetMode="External"/><Relationship Id="rId1399" Type="http://schemas.openxmlformats.org/officeDocument/2006/relationships/hyperlink" Target="https://youtu.be/CryYbmcxkjg" TargetMode="External"/><Relationship Id="rId1398" Type="http://schemas.openxmlformats.org/officeDocument/2006/relationships/hyperlink" Target="https://youtu.be/g4bWm8_JITI" TargetMode="External"/><Relationship Id="rId1397" Type="http://schemas.openxmlformats.org/officeDocument/2006/relationships/hyperlink" Target="https://youtu.be/N62vMwuSinU" TargetMode="External"/><Relationship Id="rId1396" Type="http://schemas.openxmlformats.org/officeDocument/2006/relationships/hyperlink" Target="https://youtu.be/oBUa4UX84mc" TargetMode="External"/><Relationship Id="rId1395" Type="http://schemas.openxmlformats.org/officeDocument/2006/relationships/hyperlink" Target="https://youtu.be/JoTBB9gmUkw" TargetMode="External"/><Relationship Id="rId1394" Type="http://schemas.openxmlformats.org/officeDocument/2006/relationships/hyperlink" Target="https://youtu.be/g-M2aHfNGDM" TargetMode="External"/><Relationship Id="rId1393" Type="http://schemas.openxmlformats.org/officeDocument/2006/relationships/hyperlink" Target="https://youtu.be/LE3Lc2i3BLw" TargetMode="External"/><Relationship Id="rId1392" Type="http://schemas.openxmlformats.org/officeDocument/2006/relationships/hyperlink" Target="https://youtu.be/8ZcA3FfqTkU" TargetMode="External"/><Relationship Id="rId1391" Type="http://schemas.openxmlformats.org/officeDocument/2006/relationships/hyperlink" Target="https://youtu.be/xkVE6pOgEfk" TargetMode="External"/><Relationship Id="rId1390" Type="http://schemas.openxmlformats.org/officeDocument/2006/relationships/hyperlink" Target="https://youtu.be/m9xVJ8jaimU" TargetMode="External"/><Relationship Id="rId139" Type="http://schemas.openxmlformats.org/officeDocument/2006/relationships/hyperlink" Target="https://youtu.be/V3hoqpLACzk" TargetMode="External"/><Relationship Id="rId1389" Type="http://schemas.openxmlformats.org/officeDocument/2006/relationships/hyperlink" Target="https://youtu.be/WY00J_PgeYc" TargetMode="External"/><Relationship Id="rId1388" Type="http://schemas.openxmlformats.org/officeDocument/2006/relationships/hyperlink" Target="https://youtu.be/x8gYFVQ054k" TargetMode="External"/><Relationship Id="rId1387" Type="http://schemas.openxmlformats.org/officeDocument/2006/relationships/hyperlink" Target="https://youtu.be/GP1feycsEh8" TargetMode="External"/><Relationship Id="rId1386" Type="http://schemas.openxmlformats.org/officeDocument/2006/relationships/hyperlink" Target="https://youtu.be/knRseQgkUTs" TargetMode="External"/><Relationship Id="rId1385" Type="http://schemas.openxmlformats.org/officeDocument/2006/relationships/hyperlink" Target="https://youtu.be/sYHh8C8Kcrk" TargetMode="External"/><Relationship Id="rId1384" Type="http://schemas.openxmlformats.org/officeDocument/2006/relationships/hyperlink" Target="https://youtu.be/iGdH9btHvZw" TargetMode="External"/><Relationship Id="rId1383" Type="http://schemas.openxmlformats.org/officeDocument/2006/relationships/hyperlink" Target="https://youtu.be/K1TfaVRkSAw" TargetMode="External"/><Relationship Id="rId1382" Type="http://schemas.openxmlformats.org/officeDocument/2006/relationships/hyperlink" Target="https://youtu.be/isUrYV8tHok" TargetMode="External"/><Relationship Id="rId1381" Type="http://schemas.openxmlformats.org/officeDocument/2006/relationships/hyperlink" Target="https://youtu.be/fVnSGLoqbOM" TargetMode="External"/><Relationship Id="rId1380" Type="http://schemas.openxmlformats.org/officeDocument/2006/relationships/hyperlink" Target="https://youtu.be/tQa_Wzu9GH4" TargetMode="External"/><Relationship Id="rId138" Type="http://schemas.openxmlformats.org/officeDocument/2006/relationships/hyperlink" Target="https://youtu.be/F3_1xgCbORs" TargetMode="External"/><Relationship Id="rId1379" Type="http://schemas.openxmlformats.org/officeDocument/2006/relationships/hyperlink" Target="https://youtu.be/VvDyITqm3U4" TargetMode="External"/><Relationship Id="rId1378" Type="http://schemas.openxmlformats.org/officeDocument/2006/relationships/hyperlink" Target="https://youtu.be/NpYaF4tb8k4" TargetMode="External"/><Relationship Id="rId1377" Type="http://schemas.openxmlformats.org/officeDocument/2006/relationships/hyperlink" Target="https://youtu.be/2mK5BLoYlBU" TargetMode="External"/><Relationship Id="rId1376" Type="http://schemas.openxmlformats.org/officeDocument/2006/relationships/hyperlink" Target="https://youtu.be/D_osz0XyRaY" TargetMode="External"/><Relationship Id="rId1375" Type="http://schemas.openxmlformats.org/officeDocument/2006/relationships/hyperlink" Target="https://youtu.be/snfY5CZ3-Jw" TargetMode="External"/><Relationship Id="rId1374" Type="http://schemas.openxmlformats.org/officeDocument/2006/relationships/hyperlink" Target="https://youtu.be/HZYysEnvYO4" TargetMode="External"/><Relationship Id="rId1373" Type="http://schemas.openxmlformats.org/officeDocument/2006/relationships/hyperlink" Target="https://youtu.be/396sRuzVrHQ" TargetMode="External"/><Relationship Id="rId1372" Type="http://schemas.openxmlformats.org/officeDocument/2006/relationships/hyperlink" Target="https://youtu.be/T_VJUeXS6F4" TargetMode="External"/><Relationship Id="rId1371" Type="http://schemas.openxmlformats.org/officeDocument/2006/relationships/hyperlink" Target="https://youtu.be/4NrUsIKtRG8" TargetMode="External"/><Relationship Id="rId1370" Type="http://schemas.openxmlformats.org/officeDocument/2006/relationships/hyperlink" Target="https://youtu.be/vE441pjBF7o" TargetMode="External"/><Relationship Id="rId137" Type="http://schemas.openxmlformats.org/officeDocument/2006/relationships/hyperlink" Target="https://youtu.be/n4wAG0JH-10" TargetMode="External"/><Relationship Id="rId1369" Type="http://schemas.openxmlformats.org/officeDocument/2006/relationships/hyperlink" Target="https://youtu.be/diYnjymyruM" TargetMode="External"/><Relationship Id="rId1368" Type="http://schemas.openxmlformats.org/officeDocument/2006/relationships/hyperlink" Target="https://youtu.be/1EOPPM5bfGc" TargetMode="External"/><Relationship Id="rId1367" Type="http://schemas.openxmlformats.org/officeDocument/2006/relationships/hyperlink" Target="https://youtu.be/7aKYeRSYLB0" TargetMode="External"/><Relationship Id="rId1366" Type="http://schemas.openxmlformats.org/officeDocument/2006/relationships/hyperlink" Target="https://youtu.be/f3e1CsCKUgk" TargetMode="External"/><Relationship Id="rId1365" Type="http://schemas.openxmlformats.org/officeDocument/2006/relationships/hyperlink" Target="https://youtu.be/ldlphfRuk1Q" TargetMode="External"/><Relationship Id="rId1364" Type="http://schemas.openxmlformats.org/officeDocument/2006/relationships/hyperlink" Target="https://youtu.be/akztqVmxSfk" TargetMode="External"/><Relationship Id="rId1363" Type="http://schemas.openxmlformats.org/officeDocument/2006/relationships/hyperlink" Target="https://youtu.be/Pg5U4pA87yQ" TargetMode="External"/><Relationship Id="rId1362" Type="http://schemas.openxmlformats.org/officeDocument/2006/relationships/hyperlink" Target="https://youtu.be/j9xDiEFew5o" TargetMode="External"/><Relationship Id="rId1361" Type="http://schemas.openxmlformats.org/officeDocument/2006/relationships/hyperlink" Target="https://youtu.be/uSpZtTrQo_A" TargetMode="External"/><Relationship Id="rId1360" Type="http://schemas.openxmlformats.org/officeDocument/2006/relationships/hyperlink" Target="https://youtu.be/C_8cfzWoYVQ" TargetMode="External"/><Relationship Id="rId136" Type="http://schemas.openxmlformats.org/officeDocument/2006/relationships/hyperlink" Target="https://youtu.be/xkatAImzMU4" TargetMode="External"/><Relationship Id="rId1359" Type="http://schemas.openxmlformats.org/officeDocument/2006/relationships/hyperlink" Target="https://youtu.be/Ejwe3PnWn88" TargetMode="External"/><Relationship Id="rId1358" Type="http://schemas.openxmlformats.org/officeDocument/2006/relationships/hyperlink" Target="https://youtu.be/DVObUdv0_cQ" TargetMode="External"/><Relationship Id="rId1357" Type="http://schemas.openxmlformats.org/officeDocument/2006/relationships/hyperlink" Target="https://youtu.be/fa-m9gptKVE" TargetMode="External"/><Relationship Id="rId1356" Type="http://schemas.openxmlformats.org/officeDocument/2006/relationships/hyperlink" Target="https://youtu.be/1AscBT6Vt8c" TargetMode="External"/><Relationship Id="rId1355" Type="http://schemas.openxmlformats.org/officeDocument/2006/relationships/hyperlink" Target="https://youtu.be/L7z3iA1Iruw" TargetMode="External"/><Relationship Id="rId1354" Type="http://schemas.openxmlformats.org/officeDocument/2006/relationships/hyperlink" Target="https://youtu.be/pUg7vkoC4Cc" TargetMode="External"/><Relationship Id="rId1353" Type="http://schemas.openxmlformats.org/officeDocument/2006/relationships/hyperlink" Target="https://youtu.be/oJLgMxGOqUw" TargetMode="External"/><Relationship Id="rId1352" Type="http://schemas.openxmlformats.org/officeDocument/2006/relationships/hyperlink" Target="https://youtu.be/y-5Jj7DDfqg" TargetMode="External"/><Relationship Id="rId1351" Type="http://schemas.openxmlformats.org/officeDocument/2006/relationships/hyperlink" Target="https://youtu.be/_5td92FfgHk" TargetMode="External"/><Relationship Id="rId1350" Type="http://schemas.openxmlformats.org/officeDocument/2006/relationships/hyperlink" Target="https://youtu.be/BRzf-UbYmhM" TargetMode="External"/><Relationship Id="rId135" Type="http://schemas.openxmlformats.org/officeDocument/2006/relationships/hyperlink" Target="https://youtu.be/QWVe3q2R2cA" TargetMode="External"/><Relationship Id="rId1349" Type="http://schemas.openxmlformats.org/officeDocument/2006/relationships/hyperlink" Target="https://youtu.be/UHKuORG_XKI" TargetMode="External"/><Relationship Id="rId1348" Type="http://schemas.openxmlformats.org/officeDocument/2006/relationships/hyperlink" Target="https://youtu.be/Pc18Sjz2-Rg" TargetMode="External"/><Relationship Id="rId1347" Type="http://schemas.openxmlformats.org/officeDocument/2006/relationships/hyperlink" Target="https://youtu.be/TrOwm2q019Q" TargetMode="External"/><Relationship Id="rId1346" Type="http://schemas.openxmlformats.org/officeDocument/2006/relationships/hyperlink" Target="https://youtu.be/HK0WqrkuAic" TargetMode="External"/><Relationship Id="rId1345" Type="http://schemas.openxmlformats.org/officeDocument/2006/relationships/hyperlink" Target="https://youtu.be/aEhfEZZhKa0" TargetMode="External"/><Relationship Id="rId1344" Type="http://schemas.openxmlformats.org/officeDocument/2006/relationships/hyperlink" Target="https://youtu.be/GEJUGdvMVGk" TargetMode="External"/><Relationship Id="rId1343" Type="http://schemas.openxmlformats.org/officeDocument/2006/relationships/hyperlink" Target="https://youtu.be/tgp33OYAJ18" TargetMode="External"/><Relationship Id="rId1342" Type="http://schemas.openxmlformats.org/officeDocument/2006/relationships/hyperlink" Target="https://youtu.be/7bVNYLE5PFQ" TargetMode="External"/><Relationship Id="rId1341" Type="http://schemas.openxmlformats.org/officeDocument/2006/relationships/hyperlink" Target="https://youtu.be/0oSTDKK2QW0" TargetMode="External"/><Relationship Id="rId1340" Type="http://schemas.openxmlformats.org/officeDocument/2006/relationships/hyperlink" Target="https://youtu.be/pqAUjItddww" TargetMode="External"/><Relationship Id="rId134" Type="http://schemas.openxmlformats.org/officeDocument/2006/relationships/hyperlink" Target="https://youtu.be/hdJ3rr3eKqY" TargetMode="External"/><Relationship Id="rId1339" Type="http://schemas.openxmlformats.org/officeDocument/2006/relationships/hyperlink" Target="https://youtu.be/0fVAMaV7syE" TargetMode="External"/><Relationship Id="rId1338" Type="http://schemas.openxmlformats.org/officeDocument/2006/relationships/hyperlink" Target="https://youtu.be/7tMjZAFE6fU" TargetMode="External"/><Relationship Id="rId1337" Type="http://schemas.openxmlformats.org/officeDocument/2006/relationships/hyperlink" Target="https://youtu.be/ouNiZCw4bDU" TargetMode="External"/><Relationship Id="rId1336" Type="http://schemas.openxmlformats.org/officeDocument/2006/relationships/hyperlink" Target="https://youtu.be/0Pk5NPQDO_o" TargetMode="External"/><Relationship Id="rId1335" Type="http://schemas.openxmlformats.org/officeDocument/2006/relationships/hyperlink" Target="https://youtu.be/niafVTy3iIM" TargetMode="External"/><Relationship Id="rId1334" Type="http://schemas.openxmlformats.org/officeDocument/2006/relationships/hyperlink" Target="https://youtu.be/iv28NUxK_tY" TargetMode="External"/><Relationship Id="rId1333" Type="http://schemas.openxmlformats.org/officeDocument/2006/relationships/hyperlink" Target="https://youtu.be/mfjGKtqO-v0" TargetMode="External"/><Relationship Id="rId1332" Type="http://schemas.openxmlformats.org/officeDocument/2006/relationships/hyperlink" Target="https://youtu.be/4EVCDiQTfYA" TargetMode="External"/><Relationship Id="rId1331" Type="http://schemas.openxmlformats.org/officeDocument/2006/relationships/hyperlink" Target="https://youtu.be/YICa1oeS0Fg" TargetMode="External"/><Relationship Id="rId1330" Type="http://schemas.openxmlformats.org/officeDocument/2006/relationships/hyperlink" Target="https://youtu.be/VeI5TrOWHqs" TargetMode="External"/><Relationship Id="rId133" Type="http://schemas.openxmlformats.org/officeDocument/2006/relationships/hyperlink" Target="https://youtu.be/sP2dxOXHTiY" TargetMode="External"/><Relationship Id="rId1329" Type="http://schemas.openxmlformats.org/officeDocument/2006/relationships/hyperlink" Target="https://youtu.be/gVZrSNjPbzM" TargetMode="External"/><Relationship Id="rId1328" Type="http://schemas.openxmlformats.org/officeDocument/2006/relationships/hyperlink" Target="https://youtu.be/j3ToJirqASc" TargetMode="External"/><Relationship Id="rId1327" Type="http://schemas.openxmlformats.org/officeDocument/2006/relationships/hyperlink" Target="https://youtu.be/AstbjxYNwqM" TargetMode="External"/><Relationship Id="rId1326" Type="http://schemas.openxmlformats.org/officeDocument/2006/relationships/hyperlink" Target="https://youtu.be/Y90bXUorNZQ" TargetMode="External"/><Relationship Id="rId1325" Type="http://schemas.openxmlformats.org/officeDocument/2006/relationships/hyperlink" Target="https://youtu.be/O-JHL44gkmM" TargetMode="External"/><Relationship Id="rId1324" Type="http://schemas.openxmlformats.org/officeDocument/2006/relationships/hyperlink" Target="https://youtu.be/PKd4hK9AU9w" TargetMode="External"/><Relationship Id="rId1323" Type="http://schemas.openxmlformats.org/officeDocument/2006/relationships/hyperlink" Target="https://youtu.be/pKxiuk0MhA4" TargetMode="External"/><Relationship Id="rId1322" Type="http://schemas.openxmlformats.org/officeDocument/2006/relationships/hyperlink" Target="https://youtu.be/xQ1ToQxCYno" TargetMode="External"/><Relationship Id="rId1321" Type="http://schemas.openxmlformats.org/officeDocument/2006/relationships/hyperlink" Target="https://youtu.be/quISTvkwo-s" TargetMode="External"/><Relationship Id="rId1320" Type="http://schemas.openxmlformats.org/officeDocument/2006/relationships/hyperlink" Target="https://youtu.be/cn4MVoIEJvU" TargetMode="External"/><Relationship Id="rId132" Type="http://schemas.openxmlformats.org/officeDocument/2006/relationships/hyperlink" Target="https://youtu.be/cI4ojCAl6AE" TargetMode="External"/><Relationship Id="rId1319" Type="http://schemas.openxmlformats.org/officeDocument/2006/relationships/hyperlink" Target="https://youtu.be/3s8DNLhxakA" TargetMode="External"/><Relationship Id="rId1318" Type="http://schemas.openxmlformats.org/officeDocument/2006/relationships/hyperlink" Target="https://youtu.be/pOernXaSfx0" TargetMode="External"/><Relationship Id="rId1317" Type="http://schemas.openxmlformats.org/officeDocument/2006/relationships/hyperlink" Target="https://youtu.be/RVnz1JVaNYk" TargetMode="External"/><Relationship Id="rId1316" Type="http://schemas.openxmlformats.org/officeDocument/2006/relationships/hyperlink" Target="https://youtu.be/i6qXl6FF3hg" TargetMode="External"/><Relationship Id="rId1315" Type="http://schemas.openxmlformats.org/officeDocument/2006/relationships/hyperlink" Target="https://youtu.be/DmqDP-3Kkck" TargetMode="External"/><Relationship Id="rId1314" Type="http://schemas.openxmlformats.org/officeDocument/2006/relationships/hyperlink" Target="https://youtu.be/4vU40yJ2V4Q" TargetMode="External"/><Relationship Id="rId1313" Type="http://schemas.openxmlformats.org/officeDocument/2006/relationships/hyperlink" Target="https://youtu.be/cg9Z0-WEQIQ" TargetMode="External"/><Relationship Id="rId1312" Type="http://schemas.openxmlformats.org/officeDocument/2006/relationships/hyperlink" Target="https://youtu.be/aRaO9av02GQ" TargetMode="External"/><Relationship Id="rId1311" Type="http://schemas.openxmlformats.org/officeDocument/2006/relationships/hyperlink" Target="https://youtu.be/UA1bi_-kHjw" TargetMode="External"/><Relationship Id="rId1310" Type="http://schemas.openxmlformats.org/officeDocument/2006/relationships/hyperlink" Target="https://youtu.be/Z7Wvh9OOeng" TargetMode="External"/><Relationship Id="rId131" Type="http://schemas.openxmlformats.org/officeDocument/2006/relationships/hyperlink" Target="https://youtu.be/q59T0ilRYfg" TargetMode="External"/><Relationship Id="rId1309" Type="http://schemas.openxmlformats.org/officeDocument/2006/relationships/hyperlink" Target="https://youtu.be/pXxE-7hmcE0" TargetMode="External"/><Relationship Id="rId1308" Type="http://schemas.openxmlformats.org/officeDocument/2006/relationships/hyperlink" Target="https://youtu.be/mFnZParBQcg" TargetMode="External"/><Relationship Id="rId1307" Type="http://schemas.openxmlformats.org/officeDocument/2006/relationships/hyperlink" Target="https://youtu.be/KZZ6j4JZ6_0" TargetMode="External"/><Relationship Id="rId1306" Type="http://schemas.openxmlformats.org/officeDocument/2006/relationships/hyperlink" Target="https://youtu.be/4e-bqzaZh-o" TargetMode="External"/><Relationship Id="rId1305" Type="http://schemas.openxmlformats.org/officeDocument/2006/relationships/hyperlink" Target="https://youtu.be/Ny4IP7PF1Yw" TargetMode="External"/><Relationship Id="rId1304" Type="http://schemas.openxmlformats.org/officeDocument/2006/relationships/hyperlink" Target="https://youtu.be/GREwspcOspM" TargetMode="External"/><Relationship Id="rId1303" Type="http://schemas.openxmlformats.org/officeDocument/2006/relationships/hyperlink" Target="https://youtu.be/1UwFJML0fUI" TargetMode="External"/><Relationship Id="rId1302" Type="http://schemas.openxmlformats.org/officeDocument/2006/relationships/hyperlink" Target="https://youtu.be/5s1pCS5coX4" TargetMode="External"/><Relationship Id="rId1301" Type="http://schemas.openxmlformats.org/officeDocument/2006/relationships/hyperlink" Target="https://youtu.be/bZBWk6UJxu4" TargetMode="External"/><Relationship Id="rId1300" Type="http://schemas.openxmlformats.org/officeDocument/2006/relationships/hyperlink" Target="https://youtu.be/BfKWLKWKPIE" TargetMode="External"/><Relationship Id="rId130" Type="http://schemas.openxmlformats.org/officeDocument/2006/relationships/hyperlink" Target="https://youtu.be/Lqs1U7f4ov4" TargetMode="External"/><Relationship Id="rId13" Type="http://schemas.openxmlformats.org/officeDocument/2006/relationships/hyperlink" Target="https://youtu.be/YugU_jgcrAg" TargetMode="External"/><Relationship Id="rId1299" Type="http://schemas.openxmlformats.org/officeDocument/2006/relationships/hyperlink" Target="https://youtu.be/HDXl_SOjUV0" TargetMode="External"/><Relationship Id="rId1298" Type="http://schemas.openxmlformats.org/officeDocument/2006/relationships/hyperlink" Target="https://youtu.be/5K4rjuPsYr8" TargetMode="External"/><Relationship Id="rId1297" Type="http://schemas.openxmlformats.org/officeDocument/2006/relationships/hyperlink" Target="https://youtu.be/6H6M2NzzOko" TargetMode="External"/><Relationship Id="rId1296" Type="http://schemas.openxmlformats.org/officeDocument/2006/relationships/hyperlink" Target="https://youtu.be/1QCNsKricls" TargetMode="External"/><Relationship Id="rId1295" Type="http://schemas.openxmlformats.org/officeDocument/2006/relationships/hyperlink" Target="https://youtu.be/xTyWl8TPNBM" TargetMode="External"/><Relationship Id="rId1294" Type="http://schemas.openxmlformats.org/officeDocument/2006/relationships/hyperlink" Target="https://youtu.be/Fxzwf99_feo" TargetMode="External"/><Relationship Id="rId1293" Type="http://schemas.openxmlformats.org/officeDocument/2006/relationships/hyperlink" Target="https://youtu.be/5Wpo_VVhSZ0" TargetMode="External"/><Relationship Id="rId1292" Type="http://schemas.openxmlformats.org/officeDocument/2006/relationships/hyperlink" Target="https://youtu.be/GYyoOkv5ahk" TargetMode="External"/><Relationship Id="rId1291" Type="http://schemas.openxmlformats.org/officeDocument/2006/relationships/hyperlink" Target="https://youtu.be/iTtti4JKbUA" TargetMode="External"/><Relationship Id="rId1290" Type="http://schemas.openxmlformats.org/officeDocument/2006/relationships/hyperlink" Target="https://youtu.be/-Fi1UNsr1ek" TargetMode="External"/><Relationship Id="rId129" Type="http://schemas.openxmlformats.org/officeDocument/2006/relationships/hyperlink" Target="https://youtu.be/4_ObBbyoQuA" TargetMode="External"/><Relationship Id="rId1289" Type="http://schemas.openxmlformats.org/officeDocument/2006/relationships/hyperlink" Target="https://youtu.be/0NXWL99lcJs" TargetMode="External"/><Relationship Id="rId1288" Type="http://schemas.openxmlformats.org/officeDocument/2006/relationships/hyperlink" Target="https://youtu.be/fFsHG8JEaA0" TargetMode="External"/><Relationship Id="rId1287" Type="http://schemas.openxmlformats.org/officeDocument/2006/relationships/hyperlink" Target="https://youtu.be/K5mdGyAgrwg" TargetMode="External"/><Relationship Id="rId1286" Type="http://schemas.openxmlformats.org/officeDocument/2006/relationships/hyperlink" Target="https://youtu.be/uSwwYl3lRtc" TargetMode="External"/><Relationship Id="rId1285" Type="http://schemas.openxmlformats.org/officeDocument/2006/relationships/hyperlink" Target="https://youtu.be/1zjfXm07Dg8" TargetMode="External"/><Relationship Id="rId1284" Type="http://schemas.openxmlformats.org/officeDocument/2006/relationships/hyperlink" Target="https://youtu.be/nZ9NKStsYRc" TargetMode="External"/><Relationship Id="rId1283" Type="http://schemas.openxmlformats.org/officeDocument/2006/relationships/hyperlink" Target="https://youtu.be/rlk6ZyBap6U" TargetMode="External"/><Relationship Id="rId1282" Type="http://schemas.openxmlformats.org/officeDocument/2006/relationships/hyperlink" Target="https://youtu.be/fpUOOBNK_vM" TargetMode="External"/><Relationship Id="rId1281" Type="http://schemas.openxmlformats.org/officeDocument/2006/relationships/hyperlink" Target="https://youtu.be/4J5q2nMeqoQ" TargetMode="External"/><Relationship Id="rId1280" Type="http://schemas.openxmlformats.org/officeDocument/2006/relationships/hyperlink" Target="https://youtu.be/o1WcJDMlfCA" TargetMode="External"/><Relationship Id="rId128" Type="http://schemas.openxmlformats.org/officeDocument/2006/relationships/hyperlink" Target="https://youtu.be/ios5jqcav6U" TargetMode="External"/><Relationship Id="rId1279" Type="http://schemas.openxmlformats.org/officeDocument/2006/relationships/hyperlink" Target="https://youtu.be/MnJ6Aexdldg" TargetMode="External"/><Relationship Id="rId1278" Type="http://schemas.openxmlformats.org/officeDocument/2006/relationships/hyperlink" Target="https://youtu.be/TGMWdtQYkbc" TargetMode="External"/><Relationship Id="rId1277" Type="http://schemas.openxmlformats.org/officeDocument/2006/relationships/hyperlink" Target="https://youtu.be/objbcnqCmXk" TargetMode="External"/><Relationship Id="rId1276" Type="http://schemas.openxmlformats.org/officeDocument/2006/relationships/hyperlink" Target="https://youtu.be/hBN1LHKGjXM" TargetMode="External"/><Relationship Id="rId1275" Type="http://schemas.openxmlformats.org/officeDocument/2006/relationships/hyperlink" Target="https://youtu.be/HneS8n6xIOM" TargetMode="External"/><Relationship Id="rId1274" Type="http://schemas.openxmlformats.org/officeDocument/2006/relationships/hyperlink" Target="https://youtu.be/6GW7FGt19wA" TargetMode="External"/><Relationship Id="rId1273" Type="http://schemas.openxmlformats.org/officeDocument/2006/relationships/hyperlink" Target="https://youtu.be/vYSPGCOFNzQ" TargetMode="External"/><Relationship Id="rId1272" Type="http://schemas.openxmlformats.org/officeDocument/2006/relationships/hyperlink" Target="https://youtu.be/M3Fg0XrQBmU" TargetMode="External"/><Relationship Id="rId1271" Type="http://schemas.openxmlformats.org/officeDocument/2006/relationships/hyperlink" Target="https://youtu.be/s71kyRGy7FE" TargetMode="External"/><Relationship Id="rId1270" Type="http://schemas.openxmlformats.org/officeDocument/2006/relationships/hyperlink" Target="https://youtu.be/4lRA7xL_xgM" TargetMode="External"/><Relationship Id="rId127" Type="http://schemas.openxmlformats.org/officeDocument/2006/relationships/hyperlink" Target="https://youtu.be/wkmM6LkZCAc" TargetMode="External"/><Relationship Id="rId1269" Type="http://schemas.openxmlformats.org/officeDocument/2006/relationships/hyperlink" Target="https://youtu.be/r-PDeZSsTqo" TargetMode="External"/><Relationship Id="rId1268" Type="http://schemas.openxmlformats.org/officeDocument/2006/relationships/hyperlink" Target="https://youtu.be/XMCr04GXQeM" TargetMode="External"/><Relationship Id="rId1267" Type="http://schemas.openxmlformats.org/officeDocument/2006/relationships/hyperlink" Target="https://youtu.be/CfamPxPI-CQ" TargetMode="External"/><Relationship Id="rId1266" Type="http://schemas.openxmlformats.org/officeDocument/2006/relationships/hyperlink" Target="https://youtu.be/JG1-51ZCpwU" TargetMode="External"/><Relationship Id="rId1265" Type="http://schemas.openxmlformats.org/officeDocument/2006/relationships/hyperlink" Target="https://youtu.be/4vkqBfv8OMM" TargetMode="External"/><Relationship Id="rId1264" Type="http://schemas.openxmlformats.org/officeDocument/2006/relationships/hyperlink" Target="https://youtu.be/L_VteT0rdy8" TargetMode="External"/><Relationship Id="rId1263" Type="http://schemas.openxmlformats.org/officeDocument/2006/relationships/hyperlink" Target="https://youtu.be/CYppcUc36mg" TargetMode="External"/><Relationship Id="rId1262" Type="http://schemas.openxmlformats.org/officeDocument/2006/relationships/hyperlink" Target="https://youtu.be/Zfgu97xjGbU" TargetMode="External"/><Relationship Id="rId1261" Type="http://schemas.openxmlformats.org/officeDocument/2006/relationships/hyperlink" Target="https://youtu.be/t6pcgYHe0p0" TargetMode="External"/><Relationship Id="rId1260" Type="http://schemas.openxmlformats.org/officeDocument/2006/relationships/hyperlink" Target="https://youtu.be/eV95tzgh3rs" TargetMode="External"/><Relationship Id="rId126" Type="http://schemas.openxmlformats.org/officeDocument/2006/relationships/hyperlink" Target="https://youtu.be/yczFDtz5xNQ" TargetMode="External"/><Relationship Id="rId1259" Type="http://schemas.openxmlformats.org/officeDocument/2006/relationships/hyperlink" Target="https://youtu.be/swDmUBCB2DY" TargetMode="External"/><Relationship Id="rId1258" Type="http://schemas.openxmlformats.org/officeDocument/2006/relationships/hyperlink" Target="https://youtu.be/1lByXTVwvRM" TargetMode="External"/><Relationship Id="rId1257" Type="http://schemas.openxmlformats.org/officeDocument/2006/relationships/hyperlink" Target="https://youtu.be/blUCRZytZCU" TargetMode="External"/><Relationship Id="rId1256" Type="http://schemas.openxmlformats.org/officeDocument/2006/relationships/hyperlink" Target="https://youtu.be/isUsWZ9aVK4" TargetMode="External"/><Relationship Id="rId1255" Type="http://schemas.openxmlformats.org/officeDocument/2006/relationships/hyperlink" Target="https://youtu.be/9VMiKodZ3ow" TargetMode="External"/><Relationship Id="rId1254" Type="http://schemas.openxmlformats.org/officeDocument/2006/relationships/hyperlink" Target="https://youtu.be/dlod2pBuLJg" TargetMode="External"/><Relationship Id="rId1253" Type="http://schemas.openxmlformats.org/officeDocument/2006/relationships/hyperlink" Target="https://youtu.be/qqNxssB26bo" TargetMode="External"/><Relationship Id="rId1252" Type="http://schemas.openxmlformats.org/officeDocument/2006/relationships/hyperlink" Target="https://youtu.be/4ehCMvZX1SE" TargetMode="External"/><Relationship Id="rId1251" Type="http://schemas.openxmlformats.org/officeDocument/2006/relationships/hyperlink" Target="https://youtu.be/WrGEU5irS8o" TargetMode="External"/><Relationship Id="rId1250" Type="http://schemas.openxmlformats.org/officeDocument/2006/relationships/hyperlink" Target="https://youtu.be/isHaxAVKOx0" TargetMode="External"/><Relationship Id="rId125" Type="http://schemas.openxmlformats.org/officeDocument/2006/relationships/hyperlink" Target="https://youtu.be/iOu065xkLC4" TargetMode="External"/><Relationship Id="rId1249" Type="http://schemas.openxmlformats.org/officeDocument/2006/relationships/hyperlink" Target="https://youtu.be/DisyKIiceUk" TargetMode="External"/><Relationship Id="rId1248" Type="http://schemas.openxmlformats.org/officeDocument/2006/relationships/hyperlink" Target="https://youtu.be/SsWS9hBDtyI" TargetMode="External"/><Relationship Id="rId1247" Type="http://schemas.openxmlformats.org/officeDocument/2006/relationships/hyperlink" Target="https://youtu.be/prPmciueUHA" TargetMode="External"/><Relationship Id="rId1246" Type="http://schemas.openxmlformats.org/officeDocument/2006/relationships/hyperlink" Target="https://youtu.be/-4lktJBvKm8" TargetMode="External"/><Relationship Id="rId1245" Type="http://schemas.openxmlformats.org/officeDocument/2006/relationships/hyperlink" Target="https://youtu.be/NbaNleplrjs" TargetMode="External"/><Relationship Id="rId1244" Type="http://schemas.openxmlformats.org/officeDocument/2006/relationships/hyperlink" Target="https://youtu.be/WujwkKxR-e4" TargetMode="External"/><Relationship Id="rId1243" Type="http://schemas.openxmlformats.org/officeDocument/2006/relationships/hyperlink" Target="https://youtu.be/AHUDQ30slCU" TargetMode="External"/><Relationship Id="rId1242" Type="http://schemas.openxmlformats.org/officeDocument/2006/relationships/hyperlink" Target="https://youtu.be/uJCwEFX2yRY" TargetMode="External"/><Relationship Id="rId1241" Type="http://schemas.openxmlformats.org/officeDocument/2006/relationships/hyperlink" Target="https://youtu.be/UiRXVmx4RO8" TargetMode="External"/><Relationship Id="rId1240" Type="http://schemas.openxmlformats.org/officeDocument/2006/relationships/hyperlink" Target="https://youtu.be/FiqeUx6s81A" TargetMode="External"/><Relationship Id="rId124" Type="http://schemas.openxmlformats.org/officeDocument/2006/relationships/hyperlink" Target="https://youtu.be/wZTfsY3XHDQ" TargetMode="External"/><Relationship Id="rId1239" Type="http://schemas.openxmlformats.org/officeDocument/2006/relationships/hyperlink" Target="https://youtu.be/CMMDGatv2lE" TargetMode="External"/><Relationship Id="rId1238" Type="http://schemas.openxmlformats.org/officeDocument/2006/relationships/hyperlink" Target="https://youtu.be/u25lBSHAsCU" TargetMode="External"/><Relationship Id="rId1237" Type="http://schemas.openxmlformats.org/officeDocument/2006/relationships/hyperlink" Target="https://youtu.be/B0gJeMd1KHc" TargetMode="External"/><Relationship Id="rId1236" Type="http://schemas.openxmlformats.org/officeDocument/2006/relationships/hyperlink" Target="https://youtu.be/4_ul4_9rzPI" TargetMode="External"/><Relationship Id="rId1235" Type="http://schemas.openxmlformats.org/officeDocument/2006/relationships/hyperlink" Target="https://youtu.be/z2z-H3AFbIk" TargetMode="External"/><Relationship Id="rId1234" Type="http://schemas.openxmlformats.org/officeDocument/2006/relationships/hyperlink" Target="https://youtu.be/ZJSB4eaZvO4" TargetMode="External"/><Relationship Id="rId1233" Type="http://schemas.openxmlformats.org/officeDocument/2006/relationships/hyperlink" Target="https://youtu.be/QAgBOJAwmFk" TargetMode="External"/><Relationship Id="rId1232" Type="http://schemas.openxmlformats.org/officeDocument/2006/relationships/hyperlink" Target="https://youtu.be/H41R9qX6gzg" TargetMode="External"/><Relationship Id="rId1231" Type="http://schemas.openxmlformats.org/officeDocument/2006/relationships/hyperlink" Target="https://youtu.be/a6mC2TsTq-A" TargetMode="External"/><Relationship Id="rId1230" Type="http://schemas.openxmlformats.org/officeDocument/2006/relationships/hyperlink" Target="https://youtu.be/H7Gfoxs3TEk" TargetMode="External"/><Relationship Id="rId123" Type="http://schemas.openxmlformats.org/officeDocument/2006/relationships/hyperlink" Target="https://youtu.be/c6HCt04Stk8" TargetMode="External"/><Relationship Id="rId1229" Type="http://schemas.openxmlformats.org/officeDocument/2006/relationships/hyperlink" Target="https://youtu.be/at9o_gjBrEU" TargetMode="External"/><Relationship Id="rId1228" Type="http://schemas.openxmlformats.org/officeDocument/2006/relationships/hyperlink" Target="https://youtu.be/-As3rpz115A" TargetMode="External"/><Relationship Id="rId1227" Type="http://schemas.openxmlformats.org/officeDocument/2006/relationships/hyperlink" Target="https://youtu.be/2AXv-FO5dtE" TargetMode="External"/><Relationship Id="rId1226" Type="http://schemas.openxmlformats.org/officeDocument/2006/relationships/hyperlink" Target="https://youtu.be/9mlaQothGWA" TargetMode="External"/><Relationship Id="rId1225" Type="http://schemas.openxmlformats.org/officeDocument/2006/relationships/hyperlink" Target="https://youtu.be/R4qiBeCCig0" TargetMode="External"/><Relationship Id="rId1224" Type="http://schemas.openxmlformats.org/officeDocument/2006/relationships/hyperlink" Target="https://youtu.be/SvVbNbYtxYw" TargetMode="External"/><Relationship Id="rId1223" Type="http://schemas.openxmlformats.org/officeDocument/2006/relationships/hyperlink" Target="https://youtu.be/rMapGIBF3Gc" TargetMode="External"/><Relationship Id="rId1222" Type="http://schemas.openxmlformats.org/officeDocument/2006/relationships/hyperlink" Target="https://youtu.be/y8IQw4dn-JE" TargetMode="External"/><Relationship Id="rId1221" Type="http://schemas.openxmlformats.org/officeDocument/2006/relationships/hyperlink" Target="https://youtu.be/1iivVQonV_0" TargetMode="External"/><Relationship Id="rId1220" Type="http://schemas.openxmlformats.org/officeDocument/2006/relationships/hyperlink" Target="https://youtu.be/K4J6iF6_L9Y" TargetMode="External"/><Relationship Id="rId122" Type="http://schemas.openxmlformats.org/officeDocument/2006/relationships/hyperlink" Target="https://youtu.be/fmWJN1uEVLM" TargetMode="External"/><Relationship Id="rId1219" Type="http://schemas.openxmlformats.org/officeDocument/2006/relationships/hyperlink" Target="https://youtu.be/-A5W6aLuo4E" TargetMode="External"/><Relationship Id="rId1218" Type="http://schemas.openxmlformats.org/officeDocument/2006/relationships/hyperlink" Target="https://youtu.be/nDywZ-nhIb4" TargetMode="External"/><Relationship Id="rId1217" Type="http://schemas.openxmlformats.org/officeDocument/2006/relationships/hyperlink" Target="https://youtu.be/VUmeKMJn_Uc" TargetMode="External"/><Relationship Id="rId1216" Type="http://schemas.openxmlformats.org/officeDocument/2006/relationships/hyperlink" Target="https://youtu.be/JyuXA5rNUaQ" TargetMode="External"/><Relationship Id="rId1215" Type="http://schemas.openxmlformats.org/officeDocument/2006/relationships/hyperlink" Target="https://youtu.be/RXyzDUpE9Ks" TargetMode="External"/><Relationship Id="rId1214" Type="http://schemas.openxmlformats.org/officeDocument/2006/relationships/hyperlink" Target="https://youtu.be/hydyW4Vj8dM" TargetMode="External"/><Relationship Id="rId1213" Type="http://schemas.openxmlformats.org/officeDocument/2006/relationships/hyperlink" Target="https://youtu.be/IqPF3cuxu9I" TargetMode="External"/><Relationship Id="rId1212" Type="http://schemas.openxmlformats.org/officeDocument/2006/relationships/hyperlink" Target="https://youtu.be/WgpMKdQDjw4" TargetMode="External"/><Relationship Id="rId1211" Type="http://schemas.openxmlformats.org/officeDocument/2006/relationships/hyperlink" Target="https://youtu.be/orA33vVJfo0" TargetMode="External"/><Relationship Id="rId1210" Type="http://schemas.openxmlformats.org/officeDocument/2006/relationships/hyperlink" Target="https://youtu.be/h_QF5PPSO0k" TargetMode="External"/><Relationship Id="rId121" Type="http://schemas.openxmlformats.org/officeDocument/2006/relationships/hyperlink" Target="https://youtu.be/-aD3YynySkg" TargetMode="External"/><Relationship Id="rId1209" Type="http://schemas.openxmlformats.org/officeDocument/2006/relationships/hyperlink" Target="https://youtu.be/r6upfrmeAVE" TargetMode="External"/><Relationship Id="rId1208" Type="http://schemas.openxmlformats.org/officeDocument/2006/relationships/hyperlink" Target="https://youtu.be/wqT54JQpbf4" TargetMode="External"/><Relationship Id="rId1207" Type="http://schemas.openxmlformats.org/officeDocument/2006/relationships/hyperlink" Target="https://youtu.be/3sxfsTzQ944" TargetMode="External"/><Relationship Id="rId1206" Type="http://schemas.openxmlformats.org/officeDocument/2006/relationships/hyperlink" Target="https://youtu.be/EwQnGxtm5V8" TargetMode="External"/><Relationship Id="rId1205" Type="http://schemas.openxmlformats.org/officeDocument/2006/relationships/hyperlink" Target="https://youtu.be/S8NFLIJSMM4" TargetMode="External"/><Relationship Id="rId1204" Type="http://schemas.openxmlformats.org/officeDocument/2006/relationships/hyperlink" Target="https://youtu.be/_6asnta7MXc" TargetMode="External"/><Relationship Id="rId1203" Type="http://schemas.openxmlformats.org/officeDocument/2006/relationships/hyperlink" Target="https://youtu.be/Nh2q29WP3Rw" TargetMode="External"/><Relationship Id="rId1202" Type="http://schemas.openxmlformats.org/officeDocument/2006/relationships/hyperlink" Target="https://youtu.be/5-pHpEcFt4g" TargetMode="External"/><Relationship Id="rId1201" Type="http://schemas.openxmlformats.org/officeDocument/2006/relationships/hyperlink" Target="https://youtu.be/dnerAF_vgFY" TargetMode="External"/><Relationship Id="rId1200" Type="http://schemas.openxmlformats.org/officeDocument/2006/relationships/hyperlink" Target="https://youtu.be/i5TKC1wDAWE" TargetMode="External"/><Relationship Id="rId120" Type="http://schemas.openxmlformats.org/officeDocument/2006/relationships/hyperlink" Target="https://youtu.be/kDHB555q41E" TargetMode="External"/><Relationship Id="rId12" Type="http://schemas.openxmlformats.org/officeDocument/2006/relationships/hyperlink" Target="https://youtu.be/rQXdDfKVbNA" TargetMode="External"/><Relationship Id="rId1199" Type="http://schemas.openxmlformats.org/officeDocument/2006/relationships/hyperlink" Target="https://youtu.be/mkT0KtyLgCU" TargetMode="External"/><Relationship Id="rId1198" Type="http://schemas.openxmlformats.org/officeDocument/2006/relationships/hyperlink" Target="https://youtu.be/LxWdM7OB9KY" TargetMode="External"/><Relationship Id="rId1197" Type="http://schemas.openxmlformats.org/officeDocument/2006/relationships/hyperlink" Target="https://youtu.be/0JfyWDsXZMg" TargetMode="External"/><Relationship Id="rId1196" Type="http://schemas.openxmlformats.org/officeDocument/2006/relationships/hyperlink" Target="https://youtu.be/WTIhylcZEjw" TargetMode="External"/><Relationship Id="rId1195" Type="http://schemas.openxmlformats.org/officeDocument/2006/relationships/hyperlink" Target="https://youtu.be/BJWdnT3uMts" TargetMode="External"/><Relationship Id="rId1194" Type="http://schemas.openxmlformats.org/officeDocument/2006/relationships/hyperlink" Target="https://youtu.be/PjtsXSKG4t4" TargetMode="External"/><Relationship Id="rId1193" Type="http://schemas.openxmlformats.org/officeDocument/2006/relationships/hyperlink" Target="https://youtu.be/eUUe1croU5E" TargetMode="External"/><Relationship Id="rId1192" Type="http://schemas.openxmlformats.org/officeDocument/2006/relationships/hyperlink" Target="https://youtu.be/LTKsU2qe4tg" TargetMode="External"/><Relationship Id="rId1191" Type="http://schemas.openxmlformats.org/officeDocument/2006/relationships/hyperlink" Target="https://youtu.be/d7O3wPs97vI" TargetMode="External"/><Relationship Id="rId1190" Type="http://schemas.openxmlformats.org/officeDocument/2006/relationships/hyperlink" Target="https://youtu.be/kX5SEJsXbaY" TargetMode="External"/><Relationship Id="rId119" Type="http://schemas.openxmlformats.org/officeDocument/2006/relationships/hyperlink" Target="https://youtu.be/bsaTirpn-uQ" TargetMode="External"/><Relationship Id="rId1189" Type="http://schemas.openxmlformats.org/officeDocument/2006/relationships/hyperlink" Target="https://youtu.be/sy0HX_Q_s7o" TargetMode="External"/><Relationship Id="rId1188" Type="http://schemas.openxmlformats.org/officeDocument/2006/relationships/hyperlink" Target="https://youtu.be/pm7SkfnWpvM" TargetMode="External"/><Relationship Id="rId1187" Type="http://schemas.openxmlformats.org/officeDocument/2006/relationships/hyperlink" Target="https://youtu.be/hkf6W8ORTt4" TargetMode="External"/><Relationship Id="rId1186" Type="http://schemas.openxmlformats.org/officeDocument/2006/relationships/hyperlink" Target="https://youtu.be/1TZc8XOkUnU" TargetMode="External"/><Relationship Id="rId1185" Type="http://schemas.openxmlformats.org/officeDocument/2006/relationships/hyperlink" Target="https://youtu.be/tJpmh6N9-Xc" TargetMode="External"/><Relationship Id="rId1184" Type="http://schemas.openxmlformats.org/officeDocument/2006/relationships/hyperlink" Target="https://youtu.be/kKSC0J1ehFg" TargetMode="External"/><Relationship Id="rId1183" Type="http://schemas.openxmlformats.org/officeDocument/2006/relationships/hyperlink" Target="https://youtu.be/A6kcw0zPf6E" TargetMode="External"/><Relationship Id="rId1182" Type="http://schemas.openxmlformats.org/officeDocument/2006/relationships/hyperlink" Target="https://youtu.be/VybS9Smkuss" TargetMode="External"/><Relationship Id="rId1181" Type="http://schemas.openxmlformats.org/officeDocument/2006/relationships/hyperlink" Target="https://youtu.be/Fo7PrNNmdkA" TargetMode="External"/><Relationship Id="rId1180" Type="http://schemas.openxmlformats.org/officeDocument/2006/relationships/hyperlink" Target="https://youtu.be/IMUxyOUXL9o" TargetMode="External"/><Relationship Id="rId118" Type="http://schemas.openxmlformats.org/officeDocument/2006/relationships/hyperlink" Target="https://youtu.be/ruDi2kD1kpM" TargetMode="External"/><Relationship Id="rId1179" Type="http://schemas.openxmlformats.org/officeDocument/2006/relationships/hyperlink" Target="https://youtu.be/-oFYGK2mrwY" TargetMode="External"/><Relationship Id="rId1178" Type="http://schemas.openxmlformats.org/officeDocument/2006/relationships/hyperlink" Target="https://youtu.be/zNSxl9UXkCU" TargetMode="External"/><Relationship Id="rId1177" Type="http://schemas.openxmlformats.org/officeDocument/2006/relationships/hyperlink" Target="https://youtu.be/kaRGZkB9Sjc" TargetMode="External"/><Relationship Id="rId1176" Type="http://schemas.openxmlformats.org/officeDocument/2006/relationships/hyperlink" Target="https://youtu.be/b0iAoJPEk_I" TargetMode="External"/><Relationship Id="rId1175" Type="http://schemas.openxmlformats.org/officeDocument/2006/relationships/hyperlink" Target="https://youtu.be/YbP3upRGc9I" TargetMode="External"/><Relationship Id="rId1174" Type="http://schemas.openxmlformats.org/officeDocument/2006/relationships/hyperlink" Target="https://youtu.be/ZoPusN_O7qg" TargetMode="External"/><Relationship Id="rId1173" Type="http://schemas.openxmlformats.org/officeDocument/2006/relationships/hyperlink" Target="https://youtu.be/FPaVOR5zCjE" TargetMode="External"/><Relationship Id="rId1172" Type="http://schemas.openxmlformats.org/officeDocument/2006/relationships/hyperlink" Target="https://youtu.be/lF-N0e0kkdw" TargetMode="External"/><Relationship Id="rId1171" Type="http://schemas.openxmlformats.org/officeDocument/2006/relationships/hyperlink" Target="https://youtu.be/Z0JoWyz8ze8" TargetMode="External"/><Relationship Id="rId1170" Type="http://schemas.openxmlformats.org/officeDocument/2006/relationships/hyperlink" Target="https://youtu.be/oqBFzVM0AyU" TargetMode="External"/><Relationship Id="rId117" Type="http://schemas.openxmlformats.org/officeDocument/2006/relationships/hyperlink" Target="https://youtu.be/TrkaGePQfZ4" TargetMode="External"/><Relationship Id="rId1169" Type="http://schemas.openxmlformats.org/officeDocument/2006/relationships/hyperlink" Target="https://youtu.be/whI1EVFWUZ8" TargetMode="External"/><Relationship Id="rId1168" Type="http://schemas.openxmlformats.org/officeDocument/2006/relationships/hyperlink" Target="https://youtu.be/OsF7Nqe_4Cs" TargetMode="External"/><Relationship Id="rId1167" Type="http://schemas.openxmlformats.org/officeDocument/2006/relationships/hyperlink" Target="https://youtu.be/yzvnqh90LyQ" TargetMode="External"/><Relationship Id="rId1166" Type="http://schemas.openxmlformats.org/officeDocument/2006/relationships/hyperlink" Target="https://youtu.be/2pnqFHXoA1c" TargetMode="External"/><Relationship Id="rId1165" Type="http://schemas.openxmlformats.org/officeDocument/2006/relationships/hyperlink" Target="https://youtu.be/YhA1qAUP33s" TargetMode="External"/><Relationship Id="rId1164" Type="http://schemas.openxmlformats.org/officeDocument/2006/relationships/hyperlink" Target="https://youtu.be/WMIWIk57EUg" TargetMode="External"/><Relationship Id="rId1163" Type="http://schemas.openxmlformats.org/officeDocument/2006/relationships/hyperlink" Target="https://youtu.be/YWiRuyhjEZ8" TargetMode="External"/><Relationship Id="rId1162" Type="http://schemas.openxmlformats.org/officeDocument/2006/relationships/hyperlink" Target="https://youtu.be/rThMVXEIuRY" TargetMode="External"/><Relationship Id="rId1161" Type="http://schemas.openxmlformats.org/officeDocument/2006/relationships/hyperlink" Target="https://youtu.be/n05BtbVNmX4" TargetMode="External"/><Relationship Id="rId1160" Type="http://schemas.openxmlformats.org/officeDocument/2006/relationships/hyperlink" Target="https://youtu.be/Ifq57wDIYi0" TargetMode="External"/><Relationship Id="rId116" Type="http://schemas.openxmlformats.org/officeDocument/2006/relationships/hyperlink" Target="https://youtu.be/EK_2HMDEKLs" TargetMode="External"/><Relationship Id="rId1159" Type="http://schemas.openxmlformats.org/officeDocument/2006/relationships/hyperlink" Target="https://youtu.be/udRjTDKPcH4" TargetMode="External"/><Relationship Id="rId1158" Type="http://schemas.openxmlformats.org/officeDocument/2006/relationships/hyperlink" Target="https://youtu.be/MW3WbIid7PE" TargetMode="External"/><Relationship Id="rId1157" Type="http://schemas.openxmlformats.org/officeDocument/2006/relationships/hyperlink" Target="https://youtu.be/AI8IMeQXF-s" TargetMode="External"/><Relationship Id="rId1156" Type="http://schemas.openxmlformats.org/officeDocument/2006/relationships/hyperlink" Target="https://youtu.be/CmLZbYA3JzY" TargetMode="External"/><Relationship Id="rId1155" Type="http://schemas.openxmlformats.org/officeDocument/2006/relationships/hyperlink" Target="https://youtu.be/RE84QxbhACg" TargetMode="External"/><Relationship Id="rId1154" Type="http://schemas.openxmlformats.org/officeDocument/2006/relationships/hyperlink" Target="https://youtu.be/kFpVGjiPW0w" TargetMode="External"/><Relationship Id="rId1153" Type="http://schemas.openxmlformats.org/officeDocument/2006/relationships/hyperlink" Target="https://youtu.be/M3bgFvFF1I0" TargetMode="External"/><Relationship Id="rId1152" Type="http://schemas.openxmlformats.org/officeDocument/2006/relationships/hyperlink" Target="https://youtu.be/ID1dllVR0a8" TargetMode="External"/><Relationship Id="rId1151" Type="http://schemas.openxmlformats.org/officeDocument/2006/relationships/hyperlink" Target="https://youtu.be/IFAsWwKKLV0" TargetMode="External"/><Relationship Id="rId1150" Type="http://schemas.openxmlformats.org/officeDocument/2006/relationships/hyperlink" Target="https://youtu.be/z9mXAAQyrdY" TargetMode="External"/><Relationship Id="rId115" Type="http://schemas.openxmlformats.org/officeDocument/2006/relationships/hyperlink" Target="https://youtu.be/rlriQ8HZD-c" TargetMode="External"/><Relationship Id="rId1149" Type="http://schemas.openxmlformats.org/officeDocument/2006/relationships/hyperlink" Target="https://youtu.be/hwFJUg0XcLw" TargetMode="External"/><Relationship Id="rId1148" Type="http://schemas.openxmlformats.org/officeDocument/2006/relationships/hyperlink" Target="https://youtu.be/kvG54NCdKNU" TargetMode="External"/><Relationship Id="rId1147" Type="http://schemas.openxmlformats.org/officeDocument/2006/relationships/hyperlink" Target="https://youtu.be/L_j6KCwWbmw" TargetMode="External"/><Relationship Id="rId1146" Type="http://schemas.openxmlformats.org/officeDocument/2006/relationships/hyperlink" Target="https://youtu.be/DheVO2qwzsI" TargetMode="External"/><Relationship Id="rId1145" Type="http://schemas.openxmlformats.org/officeDocument/2006/relationships/hyperlink" Target="https://youtu.be/2QPFhyyAv8Q" TargetMode="External"/><Relationship Id="rId1144" Type="http://schemas.openxmlformats.org/officeDocument/2006/relationships/hyperlink" Target="https://youtu.be/eI1vDxomga0" TargetMode="External"/><Relationship Id="rId1143" Type="http://schemas.openxmlformats.org/officeDocument/2006/relationships/hyperlink" Target="https://youtu.be/Cgu3U6rqPqk" TargetMode="External"/><Relationship Id="rId1142" Type="http://schemas.openxmlformats.org/officeDocument/2006/relationships/hyperlink" Target="https://youtu.be/zVCjX-EST3c" TargetMode="External"/><Relationship Id="rId1141" Type="http://schemas.openxmlformats.org/officeDocument/2006/relationships/hyperlink" Target="https://youtu.be/IKxQDkvyNb0" TargetMode="External"/><Relationship Id="rId1140" Type="http://schemas.openxmlformats.org/officeDocument/2006/relationships/hyperlink" Target="https://youtu.be/MEdGzcv0jN8" TargetMode="External"/><Relationship Id="rId114" Type="http://schemas.openxmlformats.org/officeDocument/2006/relationships/hyperlink" Target="https://youtu.be/oeuU_ffBlGI" TargetMode="External"/><Relationship Id="rId1139" Type="http://schemas.openxmlformats.org/officeDocument/2006/relationships/hyperlink" Target="https://youtu.be/w413YD4j-EI" TargetMode="External"/><Relationship Id="rId1138" Type="http://schemas.openxmlformats.org/officeDocument/2006/relationships/hyperlink" Target="https://youtu.be/FQb7RiVDxcM" TargetMode="External"/><Relationship Id="rId1137" Type="http://schemas.openxmlformats.org/officeDocument/2006/relationships/hyperlink" Target="https://youtu.be/7fEz6jvQmow" TargetMode="External"/><Relationship Id="rId1136" Type="http://schemas.openxmlformats.org/officeDocument/2006/relationships/hyperlink" Target="https://youtu.be/4LVNVe2XeJs" TargetMode="External"/><Relationship Id="rId1135" Type="http://schemas.openxmlformats.org/officeDocument/2006/relationships/hyperlink" Target="https://youtu.be/FIdXBP1495Y" TargetMode="External"/><Relationship Id="rId1134" Type="http://schemas.openxmlformats.org/officeDocument/2006/relationships/hyperlink" Target="https://youtu.be/Aox2R9GElWw" TargetMode="External"/><Relationship Id="rId1133" Type="http://schemas.openxmlformats.org/officeDocument/2006/relationships/hyperlink" Target="https://youtu.be/HAPh6dazf78" TargetMode="External"/><Relationship Id="rId1132" Type="http://schemas.openxmlformats.org/officeDocument/2006/relationships/hyperlink" Target="https://youtu.be/L5rcaML4m5I" TargetMode="External"/><Relationship Id="rId1131" Type="http://schemas.openxmlformats.org/officeDocument/2006/relationships/hyperlink" Target="https://youtu.be/ICW_hqeH648" TargetMode="External"/><Relationship Id="rId1130" Type="http://schemas.openxmlformats.org/officeDocument/2006/relationships/hyperlink" Target="https://youtu.be/OHHnud-RRx4" TargetMode="External"/><Relationship Id="rId113" Type="http://schemas.openxmlformats.org/officeDocument/2006/relationships/hyperlink" Target="https://youtu.be/MS4Js-Sfee4" TargetMode="External"/><Relationship Id="rId1129" Type="http://schemas.openxmlformats.org/officeDocument/2006/relationships/hyperlink" Target="https://youtu.be/XeWqhj_m3Is" TargetMode="External"/><Relationship Id="rId1128" Type="http://schemas.openxmlformats.org/officeDocument/2006/relationships/hyperlink" Target="https://youtu.be/2v1j4-GqXk4" TargetMode="External"/><Relationship Id="rId1127" Type="http://schemas.openxmlformats.org/officeDocument/2006/relationships/hyperlink" Target="https://youtu.be/3p_1jynTvbE" TargetMode="External"/><Relationship Id="rId1126" Type="http://schemas.openxmlformats.org/officeDocument/2006/relationships/hyperlink" Target="https://youtu.be/_3rKiMdk7So" TargetMode="External"/><Relationship Id="rId1125" Type="http://schemas.openxmlformats.org/officeDocument/2006/relationships/hyperlink" Target="https://youtu.be/Om9rL4rpMDI" TargetMode="External"/><Relationship Id="rId1124" Type="http://schemas.openxmlformats.org/officeDocument/2006/relationships/hyperlink" Target="https://youtu.be/VdQfdKkr46U" TargetMode="External"/><Relationship Id="rId1123" Type="http://schemas.openxmlformats.org/officeDocument/2006/relationships/hyperlink" Target="https://youtu.be/ESAwzJklEvM" TargetMode="External"/><Relationship Id="rId1122" Type="http://schemas.openxmlformats.org/officeDocument/2006/relationships/hyperlink" Target="https://youtu.be/0gAlpL25Rn4" TargetMode="External"/><Relationship Id="rId1121" Type="http://schemas.openxmlformats.org/officeDocument/2006/relationships/hyperlink" Target="https://youtu.be/t4oQW_a7XkA" TargetMode="External"/><Relationship Id="rId1120" Type="http://schemas.openxmlformats.org/officeDocument/2006/relationships/hyperlink" Target="https://youtu.be/yOIQwkp4Dpc" TargetMode="External"/><Relationship Id="rId112" Type="http://schemas.openxmlformats.org/officeDocument/2006/relationships/hyperlink" Target="https://youtu.be/7x8akihavis" TargetMode="External"/><Relationship Id="rId1119" Type="http://schemas.openxmlformats.org/officeDocument/2006/relationships/hyperlink" Target="https://youtu.be/eXXbWxNlIlM" TargetMode="External"/><Relationship Id="rId1118" Type="http://schemas.openxmlformats.org/officeDocument/2006/relationships/hyperlink" Target="https://youtu.be/3Yr52YDEp3k" TargetMode="External"/><Relationship Id="rId1117" Type="http://schemas.openxmlformats.org/officeDocument/2006/relationships/hyperlink" Target="https://youtu.be/SprUqLGLgTI" TargetMode="External"/><Relationship Id="rId1116" Type="http://schemas.openxmlformats.org/officeDocument/2006/relationships/hyperlink" Target="https://youtu.be/K_dgqsS9a7U" TargetMode="External"/><Relationship Id="rId1115" Type="http://schemas.openxmlformats.org/officeDocument/2006/relationships/hyperlink" Target="https://youtu.be/EUXG4xwLnBQ" TargetMode="External"/><Relationship Id="rId1114" Type="http://schemas.openxmlformats.org/officeDocument/2006/relationships/hyperlink" Target="https://youtu.be/etOz_y2R25c" TargetMode="External"/><Relationship Id="rId1113" Type="http://schemas.openxmlformats.org/officeDocument/2006/relationships/hyperlink" Target="https://youtu.be/_InEufePaBE" TargetMode="External"/><Relationship Id="rId1112" Type="http://schemas.openxmlformats.org/officeDocument/2006/relationships/hyperlink" Target="https://youtu.be/_RcVzckESsM" TargetMode="External"/><Relationship Id="rId1111" Type="http://schemas.openxmlformats.org/officeDocument/2006/relationships/hyperlink" Target="https://youtu.be/MYhteEVgOEI" TargetMode="External"/><Relationship Id="rId1110" Type="http://schemas.openxmlformats.org/officeDocument/2006/relationships/hyperlink" Target="https://youtu.be/Z4MXuw7-8ow" TargetMode="External"/><Relationship Id="rId111" Type="http://schemas.openxmlformats.org/officeDocument/2006/relationships/hyperlink" Target="https://youtu.be/1zIcJ-pzTQ8" TargetMode="External"/><Relationship Id="rId1109" Type="http://schemas.openxmlformats.org/officeDocument/2006/relationships/hyperlink" Target="https://youtu.be/g0lxTh2EBY8" TargetMode="External"/><Relationship Id="rId1108" Type="http://schemas.openxmlformats.org/officeDocument/2006/relationships/hyperlink" Target="https://youtu.be/fOroyQc0tGQ" TargetMode="External"/><Relationship Id="rId1107" Type="http://schemas.openxmlformats.org/officeDocument/2006/relationships/hyperlink" Target="https://youtu.be/o9-YQS_Sfb4" TargetMode="External"/><Relationship Id="rId1106" Type="http://schemas.openxmlformats.org/officeDocument/2006/relationships/hyperlink" Target="https://youtu.be/rh_nyFIwPy0" TargetMode="External"/><Relationship Id="rId1105" Type="http://schemas.openxmlformats.org/officeDocument/2006/relationships/hyperlink" Target="https://youtu.be/v3cBQtxde_0" TargetMode="External"/><Relationship Id="rId1104" Type="http://schemas.openxmlformats.org/officeDocument/2006/relationships/hyperlink" Target="https://youtu.be/OeznNgnBkTY" TargetMode="External"/><Relationship Id="rId1103" Type="http://schemas.openxmlformats.org/officeDocument/2006/relationships/hyperlink" Target="https://youtu.be/L3G-HScAJuY" TargetMode="External"/><Relationship Id="rId1102" Type="http://schemas.openxmlformats.org/officeDocument/2006/relationships/hyperlink" Target="https://youtu.be/xV5sk6Zkt24" TargetMode="External"/><Relationship Id="rId1101" Type="http://schemas.openxmlformats.org/officeDocument/2006/relationships/hyperlink" Target="https://youtu.be/awY3-pRsfQc" TargetMode="External"/><Relationship Id="rId1100" Type="http://schemas.openxmlformats.org/officeDocument/2006/relationships/hyperlink" Target="https://youtu.be/T5Xbhw8M5rU" TargetMode="External"/><Relationship Id="rId110" Type="http://schemas.openxmlformats.org/officeDocument/2006/relationships/hyperlink" Target="https://youtu.be/UFDYp_LIDC4" TargetMode="External"/><Relationship Id="rId11" Type="http://schemas.openxmlformats.org/officeDocument/2006/relationships/hyperlink" Target="https://youtu.be/G7iryzDqWKY" TargetMode="External"/><Relationship Id="rId1099" Type="http://schemas.openxmlformats.org/officeDocument/2006/relationships/hyperlink" Target="https://youtu.be/RlbTx4fo5Tw" TargetMode="External"/><Relationship Id="rId1098" Type="http://schemas.openxmlformats.org/officeDocument/2006/relationships/hyperlink" Target="https://youtu.be/73I3TLaXAH8" TargetMode="External"/><Relationship Id="rId1097" Type="http://schemas.openxmlformats.org/officeDocument/2006/relationships/hyperlink" Target="https://youtu.be/smq3lIOfFog" TargetMode="External"/><Relationship Id="rId1096" Type="http://schemas.openxmlformats.org/officeDocument/2006/relationships/hyperlink" Target="https://youtu.be/nVvvL2UW5Ko" TargetMode="External"/><Relationship Id="rId1095" Type="http://schemas.openxmlformats.org/officeDocument/2006/relationships/hyperlink" Target="https://youtu.be/VBgGpkesHQo" TargetMode="External"/><Relationship Id="rId1094" Type="http://schemas.openxmlformats.org/officeDocument/2006/relationships/hyperlink" Target="https://youtu.be/l8IIGIY5Ps8" TargetMode="External"/><Relationship Id="rId1093" Type="http://schemas.openxmlformats.org/officeDocument/2006/relationships/hyperlink" Target="https://youtu.be/dMrlv-YAjTs" TargetMode="External"/><Relationship Id="rId1092" Type="http://schemas.openxmlformats.org/officeDocument/2006/relationships/hyperlink" Target="https://youtu.be/WZZeMOYk1ac" TargetMode="External"/><Relationship Id="rId1091" Type="http://schemas.openxmlformats.org/officeDocument/2006/relationships/hyperlink" Target="https://youtu.be/Z6Kp6MMl0HQ" TargetMode="External"/><Relationship Id="rId1090" Type="http://schemas.openxmlformats.org/officeDocument/2006/relationships/hyperlink" Target="https://youtu.be/KXpwVgCBaKA" TargetMode="External"/><Relationship Id="rId109" Type="http://schemas.openxmlformats.org/officeDocument/2006/relationships/hyperlink" Target="https://youtu.be/UXn5Yp1tt6w" TargetMode="External"/><Relationship Id="rId1089" Type="http://schemas.openxmlformats.org/officeDocument/2006/relationships/hyperlink" Target="https://youtu.be/jbo_-Ljwvlk" TargetMode="External"/><Relationship Id="rId1088" Type="http://schemas.openxmlformats.org/officeDocument/2006/relationships/hyperlink" Target="https://youtu.be/jCJPiQlgz9Q" TargetMode="External"/><Relationship Id="rId1087" Type="http://schemas.openxmlformats.org/officeDocument/2006/relationships/hyperlink" Target="https://youtu.be/4Mm2BFBw1cY" TargetMode="External"/><Relationship Id="rId1086" Type="http://schemas.openxmlformats.org/officeDocument/2006/relationships/hyperlink" Target="https://youtu.be/09oB0mRKTFk" TargetMode="External"/><Relationship Id="rId1085" Type="http://schemas.openxmlformats.org/officeDocument/2006/relationships/hyperlink" Target="https://youtu.be/7GpM_sGTfyA" TargetMode="External"/><Relationship Id="rId1084" Type="http://schemas.openxmlformats.org/officeDocument/2006/relationships/hyperlink" Target="https://youtu.be/QLn5LjS9cew" TargetMode="External"/><Relationship Id="rId1083" Type="http://schemas.openxmlformats.org/officeDocument/2006/relationships/hyperlink" Target="https://youtu.be/t0OhynA7JrQ" TargetMode="External"/><Relationship Id="rId1082" Type="http://schemas.openxmlformats.org/officeDocument/2006/relationships/hyperlink" Target="https://youtu.be/MiJJRK4DSEw" TargetMode="External"/><Relationship Id="rId1081" Type="http://schemas.openxmlformats.org/officeDocument/2006/relationships/hyperlink" Target="https://youtu.be/B-1cEoOvbnk" TargetMode="External"/><Relationship Id="rId1080" Type="http://schemas.openxmlformats.org/officeDocument/2006/relationships/hyperlink" Target="https://youtu.be/Abx1uTNiloo" TargetMode="External"/><Relationship Id="rId108" Type="http://schemas.openxmlformats.org/officeDocument/2006/relationships/hyperlink" Target="https://youtu.be/dbGQ37bIIHE" TargetMode="External"/><Relationship Id="rId1079" Type="http://schemas.openxmlformats.org/officeDocument/2006/relationships/hyperlink" Target="https://youtu.be/qud4SIDRv-8" TargetMode="External"/><Relationship Id="rId1078" Type="http://schemas.openxmlformats.org/officeDocument/2006/relationships/hyperlink" Target="https://youtu.be/odh08oKhpjk" TargetMode="External"/><Relationship Id="rId1077" Type="http://schemas.openxmlformats.org/officeDocument/2006/relationships/hyperlink" Target="https://youtu.be/tFTE8qDbXfs" TargetMode="External"/><Relationship Id="rId1076" Type="http://schemas.openxmlformats.org/officeDocument/2006/relationships/hyperlink" Target="https://youtu.be/1zuOCvuA27Y" TargetMode="External"/><Relationship Id="rId1075" Type="http://schemas.openxmlformats.org/officeDocument/2006/relationships/hyperlink" Target="https://youtu.be/I27EeRRkjPk" TargetMode="External"/><Relationship Id="rId1074" Type="http://schemas.openxmlformats.org/officeDocument/2006/relationships/hyperlink" Target="https://youtu.be/Iq1YAMMT5_g" TargetMode="External"/><Relationship Id="rId1073" Type="http://schemas.openxmlformats.org/officeDocument/2006/relationships/hyperlink" Target="https://youtu.be/yd_Bg7K6Jt0" TargetMode="External"/><Relationship Id="rId1072" Type="http://schemas.openxmlformats.org/officeDocument/2006/relationships/hyperlink" Target="https://youtu.be/LlFNnNQ4vQI" TargetMode="External"/><Relationship Id="rId1071" Type="http://schemas.openxmlformats.org/officeDocument/2006/relationships/hyperlink" Target="https://youtu.be/Pi48DhfenFg" TargetMode="External"/><Relationship Id="rId1070" Type="http://schemas.openxmlformats.org/officeDocument/2006/relationships/hyperlink" Target="https://youtu.be/M_MTuY8a-lI" TargetMode="External"/><Relationship Id="rId107" Type="http://schemas.openxmlformats.org/officeDocument/2006/relationships/hyperlink" Target="https://youtu.be/IJ3AHhoBDIU" TargetMode="External"/><Relationship Id="rId1069" Type="http://schemas.openxmlformats.org/officeDocument/2006/relationships/hyperlink" Target="https://youtu.be/QMtUQLPcDK4" TargetMode="External"/><Relationship Id="rId1068" Type="http://schemas.openxmlformats.org/officeDocument/2006/relationships/hyperlink" Target="https://youtu.be/TYMFiziNKOo" TargetMode="External"/><Relationship Id="rId1067" Type="http://schemas.openxmlformats.org/officeDocument/2006/relationships/hyperlink" Target="https://youtu.be/oy2nHvDDssY" TargetMode="External"/><Relationship Id="rId1066" Type="http://schemas.openxmlformats.org/officeDocument/2006/relationships/hyperlink" Target="https://youtu.be/tjDb_ZTsc44" TargetMode="External"/><Relationship Id="rId1065" Type="http://schemas.openxmlformats.org/officeDocument/2006/relationships/hyperlink" Target="https://youtu.be/HN3BWoD7uEk" TargetMode="External"/><Relationship Id="rId1064" Type="http://schemas.openxmlformats.org/officeDocument/2006/relationships/hyperlink" Target="https://youtu.be/yi09XN3NaeI" TargetMode="External"/><Relationship Id="rId1063" Type="http://schemas.openxmlformats.org/officeDocument/2006/relationships/hyperlink" Target="https://youtu.be/Hq6ddp6Kx-U" TargetMode="External"/><Relationship Id="rId1062" Type="http://schemas.openxmlformats.org/officeDocument/2006/relationships/hyperlink" Target="https://youtu.be/t4HnpMYCXnM" TargetMode="External"/><Relationship Id="rId1061" Type="http://schemas.openxmlformats.org/officeDocument/2006/relationships/hyperlink" Target="https://youtu.be/MRcmQO69DMg" TargetMode="External"/><Relationship Id="rId1060" Type="http://schemas.openxmlformats.org/officeDocument/2006/relationships/hyperlink" Target="https://youtu.be/SJAEyNmA4LE" TargetMode="External"/><Relationship Id="rId106" Type="http://schemas.openxmlformats.org/officeDocument/2006/relationships/hyperlink" Target="https://youtu.be/JgjlJ1UEmAQ" TargetMode="External"/><Relationship Id="rId1059" Type="http://schemas.openxmlformats.org/officeDocument/2006/relationships/hyperlink" Target="https://youtu.be/f_excAMCuuo" TargetMode="External"/><Relationship Id="rId1058" Type="http://schemas.openxmlformats.org/officeDocument/2006/relationships/hyperlink" Target="https://youtu.be/kPj-g4DI-NY" TargetMode="External"/><Relationship Id="rId1057" Type="http://schemas.openxmlformats.org/officeDocument/2006/relationships/hyperlink" Target="https://youtu.be/K3O1YOf0Nio" TargetMode="External"/><Relationship Id="rId1056" Type="http://schemas.openxmlformats.org/officeDocument/2006/relationships/hyperlink" Target="https://youtu.be/cbmqHg7uW3w" TargetMode="External"/><Relationship Id="rId1055" Type="http://schemas.openxmlformats.org/officeDocument/2006/relationships/hyperlink" Target="https://youtu.be/3Pbl8zR9o5o" TargetMode="External"/><Relationship Id="rId1054" Type="http://schemas.openxmlformats.org/officeDocument/2006/relationships/hyperlink" Target="https://youtu.be/n-dYG1_erJw" TargetMode="External"/><Relationship Id="rId1053" Type="http://schemas.openxmlformats.org/officeDocument/2006/relationships/hyperlink" Target="https://youtu.be/lJ7HZkkiRtU" TargetMode="External"/><Relationship Id="rId1052" Type="http://schemas.openxmlformats.org/officeDocument/2006/relationships/hyperlink" Target="https://youtu.be/ZX7rHlKGiUo" TargetMode="External"/><Relationship Id="rId1051" Type="http://schemas.openxmlformats.org/officeDocument/2006/relationships/hyperlink" Target="https://youtu.be/mvq34Uah7jk" TargetMode="External"/><Relationship Id="rId1050" Type="http://schemas.openxmlformats.org/officeDocument/2006/relationships/hyperlink" Target="https://youtu.be/NsT8YxptiBQ" TargetMode="External"/><Relationship Id="rId105" Type="http://schemas.openxmlformats.org/officeDocument/2006/relationships/hyperlink" Target="https://youtu.be/JcGP7F_es-E" TargetMode="External"/><Relationship Id="rId1049" Type="http://schemas.openxmlformats.org/officeDocument/2006/relationships/hyperlink" Target="https://youtu.be/X5VWayNrtWk" TargetMode="External"/><Relationship Id="rId1048" Type="http://schemas.openxmlformats.org/officeDocument/2006/relationships/hyperlink" Target="https://youtu.be/fxdG6XouJBs" TargetMode="External"/><Relationship Id="rId1047" Type="http://schemas.openxmlformats.org/officeDocument/2006/relationships/hyperlink" Target="https://youtu.be/KFPHbfl9F9Q" TargetMode="External"/><Relationship Id="rId1046" Type="http://schemas.openxmlformats.org/officeDocument/2006/relationships/hyperlink" Target="https://youtu.be/V15bK8Leuf0" TargetMode="External"/><Relationship Id="rId1045" Type="http://schemas.openxmlformats.org/officeDocument/2006/relationships/hyperlink" Target="https://youtu.be/C8KhYA9L9qI" TargetMode="External"/><Relationship Id="rId1044" Type="http://schemas.openxmlformats.org/officeDocument/2006/relationships/hyperlink" Target="https://youtu.be/4DR9IPb_YYE" TargetMode="External"/><Relationship Id="rId1043" Type="http://schemas.openxmlformats.org/officeDocument/2006/relationships/hyperlink" Target="https://youtu.be/7iOBtNkF32I" TargetMode="External"/><Relationship Id="rId1042" Type="http://schemas.openxmlformats.org/officeDocument/2006/relationships/hyperlink" Target="https://youtu.be/njf67aov4XA" TargetMode="External"/><Relationship Id="rId1041" Type="http://schemas.openxmlformats.org/officeDocument/2006/relationships/hyperlink" Target="https://youtu.be/_hwFYPadnbk" TargetMode="External"/><Relationship Id="rId1040" Type="http://schemas.openxmlformats.org/officeDocument/2006/relationships/hyperlink" Target="https://youtu.be/qt6AxlrN_Ns" TargetMode="External"/><Relationship Id="rId104" Type="http://schemas.openxmlformats.org/officeDocument/2006/relationships/hyperlink" Target="https://youtu.be/H1IAT9hJcLs" TargetMode="External"/><Relationship Id="rId1039" Type="http://schemas.openxmlformats.org/officeDocument/2006/relationships/hyperlink" Target="https://youtu.be/R8aByl2fK5I" TargetMode="External"/><Relationship Id="rId1038" Type="http://schemas.openxmlformats.org/officeDocument/2006/relationships/hyperlink" Target="https://youtu.be/G_2IFyWXNeA" TargetMode="External"/><Relationship Id="rId1037" Type="http://schemas.openxmlformats.org/officeDocument/2006/relationships/hyperlink" Target="https://youtu.be/LwZ2QUu-RJ8" TargetMode="External"/><Relationship Id="rId1036" Type="http://schemas.openxmlformats.org/officeDocument/2006/relationships/hyperlink" Target="https://youtu.be/3jWe_gzozXE" TargetMode="External"/><Relationship Id="rId1035" Type="http://schemas.openxmlformats.org/officeDocument/2006/relationships/hyperlink" Target="https://youtu.be/55O3GowGIiI" TargetMode="External"/><Relationship Id="rId1034" Type="http://schemas.openxmlformats.org/officeDocument/2006/relationships/hyperlink" Target="https://youtu.be/ceQycm1uCFI" TargetMode="External"/><Relationship Id="rId1033" Type="http://schemas.openxmlformats.org/officeDocument/2006/relationships/hyperlink" Target="https://youtu.be/a7P-DHMiyEc" TargetMode="External"/><Relationship Id="rId1032" Type="http://schemas.openxmlformats.org/officeDocument/2006/relationships/hyperlink" Target="https://youtu.be/fuwPdH6UChc" TargetMode="External"/><Relationship Id="rId1031" Type="http://schemas.openxmlformats.org/officeDocument/2006/relationships/hyperlink" Target="https://youtu.be/DAVHtSDNtCQ" TargetMode="External"/><Relationship Id="rId1030" Type="http://schemas.openxmlformats.org/officeDocument/2006/relationships/hyperlink" Target="https://youtu.be/UMqb2UjMkMg" TargetMode="External"/><Relationship Id="rId103" Type="http://schemas.openxmlformats.org/officeDocument/2006/relationships/hyperlink" Target="https://youtu.be/1iVeJN7m1Dw" TargetMode="External"/><Relationship Id="rId1029" Type="http://schemas.openxmlformats.org/officeDocument/2006/relationships/hyperlink" Target="https://youtu.be/JdLPmU6XJ1Q" TargetMode="External"/><Relationship Id="rId1028" Type="http://schemas.openxmlformats.org/officeDocument/2006/relationships/hyperlink" Target="https://youtu.be/0lLpcsZyEqo" TargetMode="External"/><Relationship Id="rId1027" Type="http://schemas.openxmlformats.org/officeDocument/2006/relationships/hyperlink" Target="https://youtu.be/lEc7qXx8hek" TargetMode="External"/><Relationship Id="rId1026" Type="http://schemas.openxmlformats.org/officeDocument/2006/relationships/hyperlink" Target="https://youtu.be/_xlxw_D748c" TargetMode="External"/><Relationship Id="rId1025" Type="http://schemas.openxmlformats.org/officeDocument/2006/relationships/hyperlink" Target="https://youtu.be/R5AwRC8nZGc" TargetMode="External"/><Relationship Id="rId1024" Type="http://schemas.openxmlformats.org/officeDocument/2006/relationships/hyperlink" Target="https://youtu.be/lX7s-sA7bEk" TargetMode="External"/><Relationship Id="rId1023" Type="http://schemas.openxmlformats.org/officeDocument/2006/relationships/hyperlink" Target="https://youtu.be/pMqn5Z53aY4" TargetMode="External"/><Relationship Id="rId1022" Type="http://schemas.openxmlformats.org/officeDocument/2006/relationships/hyperlink" Target="https://youtu.be/jDN2v0iO3CI" TargetMode="External"/><Relationship Id="rId1021" Type="http://schemas.openxmlformats.org/officeDocument/2006/relationships/hyperlink" Target="https://youtu.be/-GpBZSIO22U" TargetMode="External"/><Relationship Id="rId1020" Type="http://schemas.openxmlformats.org/officeDocument/2006/relationships/hyperlink" Target="https://youtu.be/DXWp0WwZWR0" TargetMode="External"/><Relationship Id="rId102" Type="http://schemas.openxmlformats.org/officeDocument/2006/relationships/hyperlink" Target="https://youtu.be/laKVLFai9Gk" TargetMode="External"/><Relationship Id="rId1019" Type="http://schemas.openxmlformats.org/officeDocument/2006/relationships/hyperlink" Target="https://youtu.be/iQLZzYiCPjk" TargetMode="External"/><Relationship Id="rId1018" Type="http://schemas.openxmlformats.org/officeDocument/2006/relationships/hyperlink" Target="https://youtu.be/D2Odsnn1H9A" TargetMode="External"/><Relationship Id="rId1017" Type="http://schemas.openxmlformats.org/officeDocument/2006/relationships/hyperlink" Target="https://youtu.be/2XUL3edY3wI" TargetMode="External"/><Relationship Id="rId1016" Type="http://schemas.openxmlformats.org/officeDocument/2006/relationships/hyperlink" Target="https://youtu.be/MVo1YguUsVE" TargetMode="External"/><Relationship Id="rId1015" Type="http://schemas.openxmlformats.org/officeDocument/2006/relationships/hyperlink" Target="https://youtu.be/BjCsjU-ZYQ0" TargetMode="External"/><Relationship Id="rId1014" Type="http://schemas.openxmlformats.org/officeDocument/2006/relationships/hyperlink" Target="https://youtu.be/Mxcw5t7Z2Ok" TargetMode="External"/><Relationship Id="rId1013" Type="http://schemas.openxmlformats.org/officeDocument/2006/relationships/hyperlink" Target="https://youtu.be/DgDM5v7S7sc" TargetMode="External"/><Relationship Id="rId1012" Type="http://schemas.openxmlformats.org/officeDocument/2006/relationships/hyperlink" Target="https://youtu.be/0rUOMHpWWng" TargetMode="External"/><Relationship Id="rId1011" Type="http://schemas.openxmlformats.org/officeDocument/2006/relationships/hyperlink" Target="https://youtu.be/_0TP_ySwEC0" TargetMode="External"/><Relationship Id="rId1010" Type="http://schemas.openxmlformats.org/officeDocument/2006/relationships/hyperlink" Target="https://youtu.be/yDHOo5dGYyk" TargetMode="External"/><Relationship Id="rId101" Type="http://schemas.openxmlformats.org/officeDocument/2006/relationships/hyperlink" Target="https://youtu.be/KnyBsPtDuj8" TargetMode="External"/><Relationship Id="rId1009" Type="http://schemas.openxmlformats.org/officeDocument/2006/relationships/hyperlink" Target="https://youtu.be/SYsGr9wqdvA" TargetMode="External"/><Relationship Id="rId1008" Type="http://schemas.openxmlformats.org/officeDocument/2006/relationships/hyperlink" Target="https://youtu.be/9yRK_7OT6Do" TargetMode="External"/><Relationship Id="rId1007" Type="http://schemas.openxmlformats.org/officeDocument/2006/relationships/hyperlink" Target="https://youtu.be/PTsI3Io_hsI" TargetMode="External"/><Relationship Id="rId1006" Type="http://schemas.openxmlformats.org/officeDocument/2006/relationships/hyperlink" Target="https://youtu.be/6Hn8qnsucwo" TargetMode="External"/><Relationship Id="rId1005" Type="http://schemas.openxmlformats.org/officeDocument/2006/relationships/hyperlink" Target="https://youtu.be/u1rOp66VqpU" TargetMode="External"/><Relationship Id="rId1004" Type="http://schemas.openxmlformats.org/officeDocument/2006/relationships/hyperlink" Target="https://youtu.be/TDYK_qW6qHE" TargetMode="External"/><Relationship Id="rId1003" Type="http://schemas.openxmlformats.org/officeDocument/2006/relationships/hyperlink" Target="https://youtu.be/tdmZAvwznOU" TargetMode="External"/><Relationship Id="rId1002" Type="http://schemas.openxmlformats.org/officeDocument/2006/relationships/hyperlink" Target="https://youtu.be/LoItSvCBN0U" TargetMode="External"/><Relationship Id="rId1001" Type="http://schemas.openxmlformats.org/officeDocument/2006/relationships/hyperlink" Target="https://youtu.be/gIfPK7-9aR4" TargetMode="External"/><Relationship Id="rId1000" Type="http://schemas.openxmlformats.org/officeDocument/2006/relationships/hyperlink" Target="https://youtu.be/wa3zEERxSGU" TargetMode="External"/><Relationship Id="rId100" Type="http://schemas.openxmlformats.org/officeDocument/2006/relationships/hyperlink" Target="https://youtu.be/1puHol4ycW0" TargetMode="External"/><Relationship Id="rId10" Type="http://schemas.openxmlformats.org/officeDocument/2006/relationships/hyperlink" Target="https://youtu.be/obf1VDbfclI" TargetMode="External"/><Relationship Id="rId1" Type="http://schemas.openxmlformats.org/officeDocument/2006/relationships/hyperlink" Target="https://youtu.be/jel6l1EQJw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60"/>
  <sheetViews>
    <sheetView tabSelected="1" workbookViewId="0">
      <selection activeCell="M1"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8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HYPERLINK("https://files.afu.se/Downloads/Transcripts/0%20-%20Government/USA%20-%20NASA%20Kennedy/2023 06 05 - NASA's Kennedy Space Center - NASA's SpaceX CRS-28 Spacecraft Separation_jel6l1EQJw8 - transcript (automated).pdf","Transcript Link")</f>
        <v>Transcript Link</v>
      </c>
      <c r="M2" s="2" t="str">
        <f>HYPERLINK("https://files.afu.se/Downloads/Transcripts/0%20-%20Government/USA%20-%20NASA%20Kennedy/2023 06 05 - NASA's Kennedy Space Center - NASA's SpaceX CRS-28 Spacecraft Separation_jel6l1EQJw8 - transcript (automated).pdf","Transcript Link")</f>
        <v>Transcript Link</v>
      </c>
    </row>
    <row r="3" ht="180" spans="1:13">
      <c r="A3" s="1" t="s">
        <v>12</v>
      </c>
      <c r="B3" s="1" t="s">
        <v>13</v>
      </c>
      <c r="C3" s="4" t="s">
        <v>23</v>
      </c>
      <c r="D3" s="1" t="s">
        <v>24</v>
      </c>
      <c r="E3" s="1" t="s">
        <v>25</v>
      </c>
      <c r="F3" s="4" t="s">
        <v>17</v>
      </c>
      <c r="G3" s="1" t="s">
        <v>18</v>
      </c>
      <c r="H3" s="1" t="s">
        <v>19</v>
      </c>
      <c r="I3" s="1" t="s">
        <v>20</v>
      </c>
      <c r="J3" s="1" t="s">
        <v>26</v>
      </c>
      <c r="K3" s="1" t="s">
        <v>22</v>
      </c>
      <c r="L3" s="1" t="str">
        <f>HYPERLINK("https://files.afu.se/Downloads/Transcripts/0%20-%20Government/USA%20-%20NASA%20Kennedy/2023 06 05 - NASA's Kennedy Space Center - NASA's SpaceX CRS-28 Broadcast Begins_VaBjH9Z6qzM - transcript (automated).pdf","Transcript Link")</f>
        <v>Transcript Link</v>
      </c>
      <c r="M3" s="2" t="str">
        <f>HYPERLINK("https://files.afu.se/Downloads/Transcripts/0%20-%20Government/USA%20-%20NASA%20Kennedy/2023 06 05 - NASA's Kennedy Space Center - NASA's SpaceX CRS-28 Broadcast Begins_VaBjH9Z6qzM - transcript (automated).pdf","Transcript Link")</f>
        <v>Transcript Link</v>
      </c>
    </row>
    <row r="4" ht="180" spans="1:13">
      <c r="A4" s="1" t="s">
        <v>27</v>
      </c>
      <c r="B4" s="1" t="s">
        <v>13</v>
      </c>
      <c r="C4" s="4" t="s">
        <v>28</v>
      </c>
      <c r="D4" s="1" t="s">
        <v>29</v>
      </c>
      <c r="E4" s="1" t="s">
        <v>30</v>
      </c>
      <c r="F4" s="4" t="s">
        <v>17</v>
      </c>
      <c r="G4" s="1" t="s">
        <v>18</v>
      </c>
      <c r="H4" s="1" t="s">
        <v>19</v>
      </c>
      <c r="I4" s="1" t="s">
        <v>20</v>
      </c>
      <c r="J4" s="1" t="s">
        <v>31</v>
      </c>
      <c r="K4" s="1" t="s">
        <v>22</v>
      </c>
      <c r="L4" s="1" t="str">
        <f>HYPERLINK("https://files.afu.se/Downloads/Transcripts/0%20-%20Government/USA%20-%20NASA%20Kennedy/2023 04 25 - NASA's Kennedy Space Center - 2023 Kennedy Space Center Update_7k8hexcqz_M - transcript (automated).pdf","Transcript Link")</f>
        <v>Transcript Link</v>
      </c>
      <c r="M4" s="2" t="str">
        <f>HYPERLINK("https://files.afu.se/Downloads/Transcripts/0%20-%20Government/USA%20-%20NASA%20Kennedy/2023 04 25 - NASA's Kennedy Space Center - 2023 Kennedy Space Center Update_7k8hexcqz_M - transcript (automated).pdf","Transcript Link")</f>
        <v>Transcript Link</v>
      </c>
    </row>
    <row r="5" ht="180" spans="1:13">
      <c r="A5" s="1" t="s">
        <v>32</v>
      </c>
      <c r="B5" s="1" t="s">
        <v>13</v>
      </c>
      <c r="C5" s="4" t="s">
        <v>33</v>
      </c>
      <c r="D5" s="1" t="s">
        <v>34</v>
      </c>
      <c r="E5" s="1" t="s">
        <v>35</v>
      </c>
      <c r="F5" s="4" t="s">
        <v>17</v>
      </c>
      <c r="G5" s="1" t="s">
        <v>18</v>
      </c>
      <c r="H5" s="1" t="s">
        <v>19</v>
      </c>
      <c r="I5" s="1" t="s">
        <v>20</v>
      </c>
      <c r="J5" s="1" t="s">
        <v>36</v>
      </c>
      <c r="K5" s="1" t="s">
        <v>22</v>
      </c>
      <c r="L5" s="1" t="str">
        <f>HYPERLINK("https://files.afu.se/Downloads/Transcripts/0%20-%20Government/USA%20-%20NASA%20Kennedy/2023 03 15 - NASA's Kennedy Space Center - NASA's SpaceX CRS-27 Mission  Spacecraft Separation_AXGGQdw-zzA - transcript (automated).pdf","Transcript Link")</f>
        <v>Transcript Link</v>
      </c>
      <c r="M5" s="2" t="str">
        <f>HYPERLINK("https://files.afu.se/Downloads/Transcripts/0%20-%20Government/USA%20-%20NASA%20Kennedy/2023 03 15 - NASA's Kennedy Space Center - NASA's SpaceX CRS-27 Mission  Spacecraft Separation_AXGGQdw-zzA - transcript (automated).pdf","Transcript Link")</f>
        <v>Transcript Link</v>
      </c>
    </row>
    <row r="6" ht="180" spans="1:13">
      <c r="A6" s="1" t="s">
        <v>32</v>
      </c>
      <c r="B6" s="1" t="s">
        <v>13</v>
      </c>
      <c r="C6" s="4" t="s">
        <v>37</v>
      </c>
      <c r="D6" s="1" t="s">
        <v>38</v>
      </c>
      <c r="E6" s="1" t="s">
        <v>39</v>
      </c>
      <c r="F6" s="4" t="s">
        <v>17</v>
      </c>
      <c r="G6" s="1" t="s">
        <v>18</v>
      </c>
      <c r="H6" s="1" t="s">
        <v>19</v>
      </c>
      <c r="I6" s="1" t="s">
        <v>20</v>
      </c>
      <c r="J6" s="1" t="s">
        <v>40</v>
      </c>
      <c r="K6" s="1" t="s">
        <v>22</v>
      </c>
      <c r="L6" s="1" t="str">
        <f>HYPERLINK("https://files.afu.se/Downloads/Transcripts/0%20-%20Government/USA%20-%20NASA%20Kennedy/2023 03 15 - NASA's Kennedy Space Center - Launch of NASA's SpaceX CRS-27 Mission from Kennedy Space Center_07qDIC68wds - transcript (automated).pdf","Transcript Link")</f>
        <v>Transcript Link</v>
      </c>
      <c r="M6" s="2" t="str">
        <f>HYPERLINK("https://files.afu.se/Downloads/Transcripts/0%20-%20Government/USA%20-%20NASA%20Kennedy/2023 03 15 - NASA's Kennedy Space Center - Launch of NASA's SpaceX CRS-27 Mission from Kennedy Space Center_07qDIC68wds - transcript (automated).pdf","Transcript Link")</f>
        <v>Transcript Link</v>
      </c>
    </row>
    <row r="7" ht="180" spans="1:13">
      <c r="A7" s="1" t="s">
        <v>32</v>
      </c>
      <c r="B7" s="1" t="s">
        <v>13</v>
      </c>
      <c r="C7" s="4" t="s">
        <v>41</v>
      </c>
      <c r="D7" s="1" t="s">
        <v>42</v>
      </c>
      <c r="E7" s="1" t="s">
        <v>43</v>
      </c>
      <c r="F7" s="4" t="s">
        <v>17</v>
      </c>
      <c r="G7" s="1" t="s">
        <v>18</v>
      </c>
      <c r="H7" s="1" t="s">
        <v>19</v>
      </c>
      <c r="I7" s="1" t="s">
        <v>20</v>
      </c>
      <c r="J7" s="1" t="s">
        <v>44</v>
      </c>
      <c r="K7" s="1" t="s">
        <v>22</v>
      </c>
      <c r="L7" s="1" t="str">
        <f>HYPERLINK("https://files.afu.se/Downloads/Transcripts/0%20-%20Government/USA%20-%20NASA%20Kennedy/2023 03 15 - NASA's Kennedy Space Center - NASA's SpaceX CRS-27 Mission  Broadcast Begins_Nf5HU1LgO2A - transcript (automated).pdf","Transcript Link")</f>
        <v>Transcript Link</v>
      </c>
      <c r="M7" s="2" t="str">
        <f>HYPERLINK("https://files.afu.se/Downloads/Transcripts/0%20-%20Government/USA%20-%20NASA%20Kennedy/2023 03 15 - NASA's Kennedy Space Center - NASA's SpaceX CRS-27 Mission  Broadcast Begins_Nf5HU1LgO2A - transcript (automated).pdf","Transcript Link")</f>
        <v>Transcript Link</v>
      </c>
    </row>
    <row r="8" ht="180" spans="1:13">
      <c r="A8" s="1" t="s">
        <v>45</v>
      </c>
      <c r="B8" s="1" t="s">
        <v>13</v>
      </c>
      <c r="C8" s="4" t="s">
        <v>46</v>
      </c>
      <c r="D8" s="1" t="s">
        <v>47</v>
      </c>
      <c r="E8" s="1" t="s">
        <v>48</v>
      </c>
      <c r="F8" s="4" t="s">
        <v>17</v>
      </c>
      <c r="G8" s="1" t="s">
        <v>18</v>
      </c>
      <c r="H8" s="1" t="s">
        <v>19</v>
      </c>
      <c r="I8" s="1" t="s">
        <v>20</v>
      </c>
      <c r="J8" s="1" t="s">
        <v>49</v>
      </c>
      <c r="K8" s="1" t="s">
        <v>22</v>
      </c>
      <c r="L8" s="1" t="str">
        <f>HYPERLINK("https://files.afu.se/Downloads/Transcripts/0%20-%20Government/USA%20-%20NASA%20Kennedy/2023 03 14 - NASA's Kennedy Space Center - This is the Artemis Generation_O7dNT2qA1dw - transcript (automated).pdf","Transcript Link")</f>
        <v>Transcript Link</v>
      </c>
      <c r="M8" s="2" t="str">
        <f>HYPERLINK("https://files.afu.se/Downloads/Transcripts/0%20-%20Government/USA%20-%20NASA%20Kennedy/2023 03 14 - NASA's Kennedy Space Center - This is the Artemis Generation_O7dNT2qA1dw - transcript (automated).pdf","Transcript Link")</f>
        <v>Transcript Link</v>
      </c>
    </row>
    <row r="9" ht="180" spans="1:13">
      <c r="A9" s="1" t="s">
        <v>50</v>
      </c>
      <c r="B9" s="1" t="s">
        <v>13</v>
      </c>
      <c r="C9" s="4" t="s">
        <v>51</v>
      </c>
      <c r="D9" s="1" t="s">
        <v>52</v>
      </c>
      <c r="E9" s="1" t="s">
        <v>53</v>
      </c>
      <c r="F9" s="4" t="s">
        <v>17</v>
      </c>
      <c r="G9" s="1" t="s">
        <v>18</v>
      </c>
      <c r="H9" s="1" t="s">
        <v>19</v>
      </c>
      <c r="I9" s="1" t="s">
        <v>20</v>
      </c>
      <c r="J9" s="1" t="s">
        <v>54</v>
      </c>
      <c r="K9" s="1" t="s">
        <v>22</v>
      </c>
      <c r="L9" s="1" t="str">
        <f>HYPERLINK("https://files.afu.se/Downloads/Transcripts/0%20-%20Government/USA%20-%20NASA%20Kennedy/2023 03 02 - NASA's Kennedy Space Center - NASA SpaceX Crew-6 Prelaunch and Launch Highlights_aafdQuVxQnY - transcript (automated).pdf","Transcript Link")</f>
        <v>Transcript Link</v>
      </c>
      <c r="M9" s="2" t="str">
        <f>HYPERLINK("https://files.afu.se/Downloads/Transcripts/0%20-%20Government/USA%20-%20NASA%20Kennedy/2023 03 02 - NASA's Kennedy Space Center - NASA SpaceX Crew-6 Prelaunch and Launch Highlights_aafdQuVxQnY - transcript (automated).pdf","Transcript Link")</f>
        <v>Transcript Link</v>
      </c>
    </row>
    <row r="10" ht="180" spans="1:13">
      <c r="A10" s="1" t="s">
        <v>50</v>
      </c>
      <c r="B10" s="1" t="s">
        <v>13</v>
      </c>
      <c r="C10" s="4" t="s">
        <v>55</v>
      </c>
      <c r="D10" s="1" t="s">
        <v>56</v>
      </c>
      <c r="E10" s="1" t="s">
        <v>57</v>
      </c>
      <c r="F10" s="4" t="s">
        <v>17</v>
      </c>
      <c r="G10" s="1" t="s">
        <v>18</v>
      </c>
      <c r="H10" s="1" t="s">
        <v>19</v>
      </c>
      <c r="I10" s="1" t="s">
        <v>20</v>
      </c>
      <c r="J10" s="1" t="s">
        <v>58</v>
      </c>
      <c r="K10" s="1" t="s">
        <v>22</v>
      </c>
      <c r="L10" s="1" t="str">
        <f>HYPERLINK("https://files.afu.se/Downloads/Transcripts/0%20-%20Government/USA%20-%20NASA%20Kennedy/2023 03 02 - NASA's Kennedy Space Center - NASA SpaceX Crew-6 Launches to the International Space Station_obf1VDbfclI - transcript (automated).pdf","Transcript Link")</f>
        <v>Transcript Link</v>
      </c>
      <c r="M10" s="2" t="str">
        <f>HYPERLINK("https://files.afu.se/Downloads/Transcripts/0%20-%20Government/USA%20-%20NASA%20Kennedy/2023 03 02 - NASA's Kennedy Space Center - NASA SpaceX Crew-6 Launches to the International Space Station_obf1VDbfclI - transcript (automated).pdf","Transcript Link")</f>
        <v>Transcript Link</v>
      </c>
    </row>
    <row r="11" ht="180" spans="1:13">
      <c r="A11" s="1" t="s">
        <v>50</v>
      </c>
      <c r="B11" s="1" t="s">
        <v>13</v>
      </c>
      <c r="C11" s="4" t="s">
        <v>59</v>
      </c>
      <c r="D11" s="1" t="s">
        <v>60</v>
      </c>
      <c r="E11" s="1" t="s">
        <v>61</v>
      </c>
      <c r="F11" s="4" t="s">
        <v>17</v>
      </c>
      <c r="G11" s="1" t="s">
        <v>18</v>
      </c>
      <c r="H11" s="1" t="s">
        <v>19</v>
      </c>
      <c r="I11" s="1" t="s">
        <v>20</v>
      </c>
      <c r="J11" s="1" t="s">
        <v>62</v>
      </c>
      <c r="K11" s="1" t="s">
        <v>22</v>
      </c>
      <c r="L11" s="1" t="str">
        <f>HYPERLINK("https://files.afu.se/Downloads/Transcripts/0%20-%20Government/USA%20-%20NASA%20Kennedy/2023 03 02 - NASA's Kennedy Space Center - NASA SpaceX Crew-6 Astronauts Walk Out for Launch, March 2, 2023_G7iryzDqWKY - transcript (automated).pdf","Transcript Link")</f>
        <v>Transcript Link</v>
      </c>
      <c r="M11" s="2" t="str">
        <f>HYPERLINK("https://files.afu.se/Downloads/Transcripts/0%20-%20Government/USA%20-%20NASA%20Kennedy/2023 03 02 - NASA's Kennedy Space Center - NASA SpaceX Crew-6 Astronauts Walk Out for Launch, March 2, 2023_G7iryzDqWKY - transcript (automated).pdf","Transcript Link")</f>
        <v>Transcript Link</v>
      </c>
    </row>
    <row r="12" ht="180" spans="1:13">
      <c r="A12" s="1" t="s">
        <v>63</v>
      </c>
      <c r="B12" s="1" t="s">
        <v>13</v>
      </c>
      <c r="C12" s="4" t="s">
        <v>64</v>
      </c>
      <c r="D12" s="1" t="s">
        <v>65</v>
      </c>
      <c r="E12" s="1" t="s">
        <v>66</v>
      </c>
      <c r="F12" s="4" t="s">
        <v>17</v>
      </c>
      <c r="G12" s="1" t="s">
        <v>18</v>
      </c>
      <c r="H12" s="1" t="s">
        <v>19</v>
      </c>
      <c r="I12" s="1" t="s">
        <v>20</v>
      </c>
      <c r="J12" s="1" t="s">
        <v>67</v>
      </c>
      <c r="K12" s="1" t="s">
        <v>22</v>
      </c>
      <c r="L12" s="1" t="str">
        <f>HYPERLINK("https://files.afu.se/Downloads/Transcripts/0%20-%20Government/USA%20-%20NASA%20Kennedy/2023 02 27 - NASA's Kennedy Space Center - NASA SpaceX Crew-6 Astronauts Walk Out for Trip to Launch Pad 39A_rQXdDfKVbNA - transcript (automated).pdf","Transcript Link")</f>
        <v>Transcript Link</v>
      </c>
      <c r="M12" s="2" t="str">
        <f>HYPERLINK("https://files.afu.se/Downloads/Transcripts/0%20-%20Government/USA%20-%20NASA%20Kennedy/2023 02 27 - NASA's Kennedy Space Center - NASA SpaceX Crew-6 Astronauts Walk Out for Trip to Launch Pad 39A_rQXdDfKVbNA - transcript (automated).pdf","Transcript Link")</f>
        <v>Transcript Link</v>
      </c>
    </row>
    <row r="13" ht="180" spans="1:13">
      <c r="A13" s="1" t="s">
        <v>63</v>
      </c>
      <c r="B13" s="1" t="s">
        <v>13</v>
      </c>
      <c r="C13" s="4" t="s">
        <v>68</v>
      </c>
      <c r="D13" s="1" t="s">
        <v>69</v>
      </c>
      <c r="E13" s="1" t="s">
        <v>70</v>
      </c>
      <c r="F13" s="4" t="s">
        <v>17</v>
      </c>
      <c r="G13" s="1" t="s">
        <v>18</v>
      </c>
      <c r="H13" s="1" t="s">
        <v>19</v>
      </c>
      <c r="I13" s="1" t="s">
        <v>20</v>
      </c>
      <c r="J13" s="1" t="s">
        <v>71</v>
      </c>
      <c r="K13" s="1" t="s">
        <v>22</v>
      </c>
      <c r="L13" s="1" t="str">
        <f>HYPERLINK("https://files.afu.se/Downloads/Transcripts/0%20-%20Government/USA%20-%20NASA%20Kennedy/2023 02 27 - NASA's Kennedy Space Center - NASA's SpaceX Crew-6 Broadcast Begins_YugU_jgcrAg - transcript (automated).pdf","Transcript Link")</f>
        <v>Transcript Link</v>
      </c>
      <c r="M13" s="2" t="str">
        <f>HYPERLINK("https://files.afu.se/Downloads/Transcripts/0%20-%20Government/USA%20-%20NASA%20Kennedy/2023 02 27 - NASA's Kennedy Space Center - NASA's SpaceX Crew-6 Broadcast Begins_YugU_jgcrAg - transcript (automated).pdf","Transcript Link")</f>
        <v>Transcript Link</v>
      </c>
    </row>
    <row r="14" ht="210" spans="1:13">
      <c r="A14" s="1" t="s">
        <v>72</v>
      </c>
      <c r="B14" s="1" t="s">
        <v>13</v>
      </c>
      <c r="C14" s="4" t="s">
        <v>73</v>
      </c>
      <c r="D14" s="1" t="s">
        <v>74</v>
      </c>
      <c r="E14" s="1" t="s">
        <v>75</v>
      </c>
      <c r="F14" s="4" t="s">
        <v>17</v>
      </c>
      <c r="G14" s="1" t="s">
        <v>18</v>
      </c>
      <c r="H14" s="1" t="s">
        <v>19</v>
      </c>
      <c r="I14" s="1" t="s">
        <v>20</v>
      </c>
      <c r="J14" s="1" t="s">
        <v>76</v>
      </c>
      <c r="K14" s="1" t="s">
        <v>22</v>
      </c>
      <c r="L14" s="1" t="str">
        <f>HYPERLINK("https://files.afu.se/Downloads/Transcripts/0%20-%20Government/USA%20-%20NASA%20Kennedy/2023 02 03 - NASA's Kennedy Space Center - Kennedy’s Swamp Works Celebrates a Decade of Discoveries_PbYHh1gvt08 - transcript (automated).pdf","Transcript Link")</f>
        <v>Transcript Link</v>
      </c>
      <c r="M14" s="2" t="str">
        <f>HYPERLINK("https://files.afu.se/Downloads/Transcripts/0%20-%20Government/USA%20-%20NASA%20Kennedy/2023 02 03 - NASA's Kennedy Space Center - Kennedy’s Swamp Works Celebrates a Decade of Discoveries_PbYHh1gvt08 - transcript (automated).pdf","Transcript Link")</f>
        <v>Transcript Link</v>
      </c>
    </row>
    <row r="15" ht="180" spans="1:13">
      <c r="A15" s="1" t="s">
        <v>77</v>
      </c>
      <c r="B15" s="1" t="s">
        <v>13</v>
      </c>
      <c r="C15" s="4" t="s">
        <v>78</v>
      </c>
      <c r="D15" s="1" t="s">
        <v>79</v>
      </c>
      <c r="E15" s="1" t="s">
        <v>80</v>
      </c>
      <c r="F15" s="4" t="s">
        <v>17</v>
      </c>
      <c r="G15" s="1" t="s">
        <v>18</v>
      </c>
      <c r="H15" s="1" t="s">
        <v>19</v>
      </c>
      <c r="I15" s="1" t="s">
        <v>20</v>
      </c>
      <c r="J15" s="1" t="s">
        <v>81</v>
      </c>
      <c r="K15" s="1" t="s">
        <v>22</v>
      </c>
      <c r="L15" s="1" t="str">
        <f>HYPERLINK("https://files.afu.se/Downloads/Transcripts/0%20-%20Government/USA%20-%20NASA%20Kennedy/2023 01 10 - NASA's Kennedy Space Center - Poll for NASA's Artemis I Launch_tizJ-w3lljY - transcript (automated).pdf","Transcript Link")</f>
        <v>Transcript Link</v>
      </c>
      <c r="M15" s="2" t="str">
        <f>HYPERLINK("https://files.afu.se/Downloads/Transcripts/0%20-%20Government/USA%20-%20NASA%20Kennedy/2023 01 10 - NASA's Kennedy Space Center - Poll for NASA's Artemis I Launch_tizJ-w3lljY - transcript (automated).pdf","Transcript Link")</f>
        <v>Transcript Link</v>
      </c>
    </row>
    <row r="16" ht="180" spans="1:13">
      <c r="A16" s="1" t="s">
        <v>82</v>
      </c>
      <c r="B16" s="1" t="s">
        <v>13</v>
      </c>
      <c r="C16" s="4" t="s">
        <v>83</v>
      </c>
      <c r="D16" s="1" t="s">
        <v>84</v>
      </c>
      <c r="E16" s="1" t="s">
        <v>85</v>
      </c>
      <c r="F16" s="4" t="s">
        <v>17</v>
      </c>
      <c r="G16" s="1" t="s">
        <v>18</v>
      </c>
      <c r="H16" s="1" t="s">
        <v>19</v>
      </c>
      <c r="I16" s="1" t="s">
        <v>20</v>
      </c>
      <c r="J16" s="1" t="s">
        <v>86</v>
      </c>
      <c r="K16" s="1" t="s">
        <v>22</v>
      </c>
      <c r="L16" s="1" t="str">
        <f>HYPERLINK("https://files.afu.se/Downloads/Transcripts/0%20-%20Government/USA%20-%20NASA%20Kennedy/2023 01 06 - NASA's Kennedy Space Center - NASA’s Commercial Crew Program  Leading the Way in Human Spaceflight_x61JwR6HwCw - transcript (automated).pdf","Transcript Link")</f>
        <v>Transcript Link</v>
      </c>
      <c r="M16" s="2" t="str">
        <f>HYPERLINK("https://files.afu.se/Downloads/Transcripts/0%20-%20Government/USA%20-%20NASA%20Kennedy/2023 01 06 - NASA's Kennedy Space Center - NASA’s Commercial Crew Program  Leading the Way in Human Spaceflight_x61JwR6HwCw - transcript (automated).pdf","Transcript Link")</f>
        <v>Transcript Link</v>
      </c>
    </row>
    <row r="17" ht="300" spans="1:13">
      <c r="A17" s="1" t="s">
        <v>87</v>
      </c>
      <c r="B17" s="1" t="s">
        <v>13</v>
      </c>
      <c r="C17" s="4" t="s">
        <v>88</v>
      </c>
      <c r="D17" s="1" t="s">
        <v>89</v>
      </c>
      <c r="E17" s="1" t="s">
        <v>90</v>
      </c>
      <c r="F17" s="4" t="s">
        <v>17</v>
      </c>
      <c r="G17" s="1" t="s">
        <v>18</v>
      </c>
      <c r="H17" s="1" t="s">
        <v>19</v>
      </c>
      <c r="I17" s="1" t="s">
        <v>20</v>
      </c>
      <c r="J17" s="1" t="s">
        <v>91</v>
      </c>
      <c r="K17" s="1" t="s">
        <v>22</v>
      </c>
      <c r="L17" s="1" t="str">
        <f>HYPERLINK("https://files.afu.se/Downloads/Transcripts/0%20-%20Government/USA%20-%20NASA%20Kennedy/2022 12 16 - NASA's Kennedy Space Center - LSP Launch Manager Omar Baez Shares Memories after Launch of SWOT_M6lgw1KKAw4 - transcript (automated).pdf","Transcript Link")</f>
        <v>Transcript Link</v>
      </c>
      <c r="M17" s="2" t="str">
        <f>HYPERLINK("https://files.afu.se/Downloads/Transcripts/0%20-%20Government/USA%20-%20NASA%20Kennedy/2022 12 16 - NASA's Kennedy Space Center - LSP Launch Manager Omar Baez Shares Memories after Launch of SWOT_M6lgw1KKAw4 - transcript (automated).pdf","Transcript Link")</f>
        <v>Transcript Link</v>
      </c>
    </row>
    <row r="18" ht="225" spans="1:13">
      <c r="A18" s="1" t="s">
        <v>87</v>
      </c>
      <c r="B18" s="1" t="s">
        <v>13</v>
      </c>
      <c r="C18" s="4" t="s">
        <v>92</v>
      </c>
      <c r="D18" s="1" t="s">
        <v>93</v>
      </c>
      <c r="E18" s="1" t="s">
        <v>94</v>
      </c>
      <c r="F18" s="4" t="s">
        <v>17</v>
      </c>
      <c r="G18" s="1" t="s">
        <v>18</v>
      </c>
      <c r="H18" s="1" t="s">
        <v>19</v>
      </c>
      <c r="I18" s="1" t="s">
        <v>20</v>
      </c>
      <c r="J18" s="1" t="s">
        <v>95</v>
      </c>
      <c r="K18" s="1" t="s">
        <v>22</v>
      </c>
      <c r="L18" s="1" t="str">
        <f>HYPERLINK("https://files.afu.se/Downloads/Transcripts/0%20-%20Government/USA%20-%20NASA%20Kennedy/2022 12 16 - NASA's Kennedy Space Center - SWOT Spacecraft Separates from the SpaceX Falcon 9 Second Stage_v9TVkRx12OI - transcript (automated).pdf","Transcript Link")</f>
        <v>Transcript Link</v>
      </c>
      <c r="M18" s="2" t="str">
        <f>HYPERLINK("https://files.afu.se/Downloads/Transcripts/0%20-%20Government/USA%20-%20NASA%20Kennedy/2022 12 16 - NASA's Kennedy Space Center - SWOT Spacecraft Separates from the SpaceX Falcon 9 Second Stage_v9TVkRx12OI - transcript (automated).pdf","Transcript Link")</f>
        <v>Transcript Link</v>
      </c>
    </row>
    <row r="19" ht="240" spans="1:13">
      <c r="A19" s="1" t="s">
        <v>87</v>
      </c>
      <c r="B19" s="1" t="s">
        <v>13</v>
      </c>
      <c r="C19" s="4" t="s">
        <v>96</v>
      </c>
      <c r="D19" s="1" t="s">
        <v>97</v>
      </c>
      <c r="E19" s="1" t="s">
        <v>98</v>
      </c>
      <c r="F19" s="4" t="s">
        <v>17</v>
      </c>
      <c r="G19" s="1" t="s">
        <v>18</v>
      </c>
      <c r="H19" s="1" t="s">
        <v>19</v>
      </c>
      <c r="I19" s="1" t="s">
        <v>20</v>
      </c>
      <c r="J19" s="1" t="s">
        <v>99</v>
      </c>
      <c r="K19" s="1" t="s">
        <v>22</v>
      </c>
      <c r="L19" s="1" t="str">
        <f>HYPERLINK("https://files.afu.se/Downloads/Transcripts/0%20-%20Government/USA%20-%20NASA%20Kennedy/2022 12 16 - NASA's Kennedy Space Center - SWOT Launches on a SpaceX Falcon 9 Rocket_ExBBwTzthnw - transcript (automated).pdf","Transcript Link")</f>
        <v>Transcript Link</v>
      </c>
      <c r="M19" s="2" t="str">
        <f>HYPERLINK("https://files.afu.se/Downloads/Transcripts/0%20-%20Government/USA%20-%20NASA%20Kennedy/2022 12 16 - NASA's Kennedy Space Center - SWOT Launches on a SpaceX Falcon 9 Rocket_ExBBwTzthnw - transcript (automated).pdf","Transcript Link")</f>
        <v>Transcript Link</v>
      </c>
    </row>
    <row r="20" ht="180" spans="1:13">
      <c r="A20" s="1" t="s">
        <v>87</v>
      </c>
      <c r="B20" s="1" t="s">
        <v>13</v>
      </c>
      <c r="C20" s="4" t="s">
        <v>100</v>
      </c>
      <c r="D20" s="1" t="s">
        <v>101</v>
      </c>
      <c r="E20" s="1" t="s">
        <v>102</v>
      </c>
      <c r="F20" s="4" t="s">
        <v>17</v>
      </c>
      <c r="G20" s="1" t="s">
        <v>18</v>
      </c>
      <c r="H20" s="1" t="s">
        <v>19</v>
      </c>
      <c r="I20" s="1" t="s">
        <v>20</v>
      </c>
      <c r="J20" s="1" t="s">
        <v>103</v>
      </c>
      <c r="K20" s="1" t="s">
        <v>22</v>
      </c>
      <c r="L20" s="1" t="str">
        <f>HYPERLINK("https://files.afu.se/Downloads/Transcripts/0%20-%20Government/USA%20-%20NASA%20Kennedy/2022 12 16 - NASA's Kennedy Space Center - SWOT Launch Broadcast Begins_hhs3N4DePyk - transcript (automated).pdf","Transcript Link")</f>
        <v>Transcript Link</v>
      </c>
      <c r="M20" s="2" t="str">
        <f>HYPERLINK("https://files.afu.se/Downloads/Transcripts/0%20-%20Government/USA%20-%20NASA%20Kennedy/2022 12 16 - NASA's Kennedy Space Center - SWOT Launch Broadcast Begins_hhs3N4DePyk - transcript (automated).pdf","Transcript Link")</f>
        <v>Transcript Link</v>
      </c>
    </row>
    <row r="21" ht="180" spans="1:13">
      <c r="A21" s="1" t="s">
        <v>104</v>
      </c>
      <c r="B21" s="1" t="s">
        <v>13</v>
      </c>
      <c r="C21" s="4" t="s">
        <v>105</v>
      </c>
      <c r="D21" s="1" t="s">
        <v>106</v>
      </c>
      <c r="E21" s="1" t="s">
        <v>107</v>
      </c>
      <c r="F21" s="4" t="s">
        <v>17</v>
      </c>
      <c r="G21" s="1" t="s">
        <v>18</v>
      </c>
      <c r="H21" s="1" t="s">
        <v>19</v>
      </c>
      <c r="I21" s="1" t="s">
        <v>20</v>
      </c>
      <c r="J21" s="1" t="s">
        <v>108</v>
      </c>
      <c r="K21" s="1" t="s">
        <v>22</v>
      </c>
      <c r="L21" s="1" t="str">
        <f>HYPERLINK("https://files.afu.se/Downloads/Transcripts/0%20-%20Government/USA%20-%20NASA%20Kennedy/2022 12 01 - NASA's Kennedy Space Center - Orion in 360 Degrees_fhaWaGZJaCw - transcript (automated).pdf","Transcript Link")</f>
        <v>Transcript Link</v>
      </c>
      <c r="M21" s="2" t="str">
        <f>HYPERLINK("https://files.afu.se/Downloads/Transcripts/0%20-%20Government/USA%20-%20NASA%20Kennedy/2022 12 01 - NASA's Kennedy Space Center - Orion in 360 Degrees_fhaWaGZJaCw - transcript (automated).pdf","Transcript Link")</f>
        <v>Transcript Link</v>
      </c>
    </row>
    <row r="22" ht="180" spans="1:13">
      <c r="A22" s="1" t="s">
        <v>109</v>
      </c>
      <c r="B22" s="1" t="s">
        <v>13</v>
      </c>
      <c r="C22" s="4" t="s">
        <v>110</v>
      </c>
      <c r="D22" s="1" t="s">
        <v>111</v>
      </c>
      <c r="E22" s="1" t="s">
        <v>112</v>
      </c>
      <c r="F22" s="4" t="s">
        <v>17</v>
      </c>
      <c r="G22" s="1" t="s">
        <v>18</v>
      </c>
      <c r="H22" s="1" t="s">
        <v>19</v>
      </c>
      <c r="I22" s="1" t="s">
        <v>20</v>
      </c>
      <c r="J22" s="1" t="s">
        <v>113</v>
      </c>
      <c r="K22" s="1" t="s">
        <v>22</v>
      </c>
      <c r="L22" s="1" t="str">
        <f>HYPERLINK("https://files.afu.se/Downloads/Transcripts/0%20-%20Government/USA%20-%20NASA%20Kennedy/2022 11 26 - NASA's Kennedy Space Center - NASA's SpaceX 26th Commercial Resupply Services Mission  Spacecraft Separation_xxDM77e9kXI - transcript (automated).pdf","Transcript Link")</f>
        <v>Transcript Link</v>
      </c>
      <c r="M22" s="2" t="str">
        <f>HYPERLINK("https://files.afu.se/Downloads/Transcripts/0%20-%20Government/USA%20-%20NASA%20Kennedy/2022 11 26 - NASA's Kennedy Space Center - NASA's SpaceX 26th Commercial Resupply Services Mission  Spacecraft Separation_xxDM77e9kXI - transcript (automated).pdf","Transcript Link")</f>
        <v>Transcript Link</v>
      </c>
    </row>
    <row r="23" ht="180" spans="1:13">
      <c r="A23" s="1" t="s">
        <v>109</v>
      </c>
      <c r="B23" s="1" t="s">
        <v>13</v>
      </c>
      <c r="C23" s="4" t="s">
        <v>114</v>
      </c>
      <c r="D23" s="1" t="s">
        <v>115</v>
      </c>
      <c r="E23" s="1" t="s">
        <v>116</v>
      </c>
      <c r="F23" s="4" t="s">
        <v>17</v>
      </c>
      <c r="G23" s="1" t="s">
        <v>18</v>
      </c>
      <c r="H23" s="1" t="s">
        <v>19</v>
      </c>
      <c r="I23" s="1" t="s">
        <v>20</v>
      </c>
      <c r="J23" s="1" t="s">
        <v>117</v>
      </c>
      <c r="K23" s="1" t="s">
        <v>22</v>
      </c>
      <c r="L23" s="1" t="str">
        <f>HYPERLINK("https://files.afu.se/Downloads/Transcripts/0%20-%20Government/USA%20-%20NASA%20Kennedy/2022 11 26 - NASA's Kennedy Space Center - NASA's SpaceX 26th Commercial Resupply Services Mission  Launch_JzfZD8nimV4 - transcript (automated).pdf","Transcript Link")</f>
        <v>Transcript Link</v>
      </c>
      <c r="M23" s="2" t="str">
        <f>HYPERLINK("https://files.afu.se/Downloads/Transcripts/0%20-%20Government/USA%20-%20NASA%20Kennedy/2022 11 26 - NASA's Kennedy Space Center - NASA's SpaceX 26th Commercial Resupply Services Mission  Launch_JzfZD8nimV4 - transcript (automated).pdf","Transcript Link")</f>
        <v>Transcript Link</v>
      </c>
    </row>
    <row r="24" ht="180" spans="1:13">
      <c r="A24" s="1" t="s">
        <v>109</v>
      </c>
      <c r="B24" s="1" t="s">
        <v>13</v>
      </c>
      <c r="C24" s="4" t="s">
        <v>118</v>
      </c>
      <c r="D24" s="1" t="s">
        <v>119</v>
      </c>
      <c r="E24" s="1" t="s">
        <v>120</v>
      </c>
      <c r="F24" s="4" t="s">
        <v>17</v>
      </c>
      <c r="G24" s="1" t="s">
        <v>18</v>
      </c>
      <c r="H24" s="1" t="s">
        <v>19</v>
      </c>
      <c r="I24" s="1" t="s">
        <v>20</v>
      </c>
      <c r="J24" s="1" t="s">
        <v>121</v>
      </c>
      <c r="K24" s="1" t="s">
        <v>22</v>
      </c>
      <c r="L24" s="1" t="str">
        <f>HYPERLINK("https://files.afu.se/Downloads/Transcripts/0%20-%20Government/USA%20-%20NASA%20Kennedy/2022 11 26 - NASA's Kennedy Space Center - NASA's SpaceX 26th Commercial Resupply Services Mission  Broadcast Open_3qveASgrpA8 - transcript (automated).pdf","Transcript Link")</f>
        <v>Transcript Link</v>
      </c>
      <c r="M24" s="2" t="str">
        <f>HYPERLINK("https://files.afu.se/Downloads/Transcripts/0%20-%20Government/USA%20-%20NASA%20Kennedy/2022 11 26 - NASA's Kennedy Space Center - NASA's SpaceX 26th Commercial Resupply Services Mission  Broadcast Open_3qveASgrpA8 - transcript (automated).pdf","Transcript Link")</f>
        <v>Transcript Link</v>
      </c>
    </row>
    <row r="25" ht="180" spans="1:13">
      <c r="A25" s="1" t="s">
        <v>122</v>
      </c>
      <c r="B25" s="1" t="s">
        <v>13</v>
      </c>
      <c r="C25" s="4" t="s">
        <v>123</v>
      </c>
      <c r="D25" s="1" t="s">
        <v>124</v>
      </c>
      <c r="E25" s="1" t="s">
        <v>125</v>
      </c>
      <c r="F25" s="4" t="s">
        <v>17</v>
      </c>
      <c r="G25" s="1" t="s">
        <v>18</v>
      </c>
      <c r="H25" s="1" t="s">
        <v>19</v>
      </c>
      <c r="I25" s="1" t="s">
        <v>20</v>
      </c>
      <c r="J25" s="1" t="s">
        <v>126</v>
      </c>
      <c r="K25" s="1" t="s">
        <v>22</v>
      </c>
      <c r="L25" s="1" t="str">
        <f>HYPERLINK("https://files.afu.se/Downloads/Transcripts/0%20-%20Government/USA%20-%20NASA%20Kennedy/2022 11 23 - NASA's Kennedy Space Center - Post-Artemis Launch Look at Pad 39B_9m9ozFud1UE - transcript (automated).pdf","Transcript Link")</f>
        <v>Transcript Link</v>
      </c>
      <c r="M25" s="2" t="str">
        <f>HYPERLINK("https://files.afu.se/Downloads/Transcripts/0%20-%20Government/USA%20-%20NASA%20Kennedy/2022 11 23 - NASA's Kennedy Space Center - Post-Artemis Launch Look at Pad 39B_9m9ozFud1UE - transcript (automated).pdf","Transcript Link")</f>
        <v>Transcript Link</v>
      </c>
    </row>
    <row r="26" ht="180" spans="1:13">
      <c r="A26" s="1" t="s">
        <v>127</v>
      </c>
      <c r="B26" s="1" t="s">
        <v>13</v>
      </c>
      <c r="C26" s="4" t="s">
        <v>128</v>
      </c>
      <c r="D26" s="1" t="s">
        <v>119</v>
      </c>
      <c r="E26" s="1" t="s">
        <v>129</v>
      </c>
      <c r="F26" s="4" t="s">
        <v>17</v>
      </c>
      <c r="G26" s="1" t="s">
        <v>18</v>
      </c>
      <c r="H26" s="1" t="s">
        <v>19</v>
      </c>
      <c r="I26" s="1" t="s">
        <v>20</v>
      </c>
      <c r="J26" s="1" t="s">
        <v>130</v>
      </c>
      <c r="K26" s="1" t="s">
        <v>22</v>
      </c>
      <c r="L26" s="1" t="str">
        <f>HYPERLINK("https://files.afu.se/Downloads/Transcripts/0%20-%20Government/USA%20-%20NASA%20Kennedy/2022 11 22 - NASA's Kennedy Space Center - NASA's SpaceX 26th Commercial Resupply Services Mission  Broadcast Open_LOEE85wuY1M - transcript (automated).pdf","Transcript Link")</f>
        <v>Transcript Link</v>
      </c>
      <c r="M26" s="2" t="str">
        <f>HYPERLINK("https://files.afu.se/Downloads/Transcripts/0%20-%20Government/USA%20-%20NASA%20Kennedy/2022 11 22 - NASA's Kennedy Space Center - NASA's SpaceX 26th Commercial Resupply Services Mission  Broadcast Open_LOEE85wuY1M - transcript (automated).pdf","Transcript Link")</f>
        <v>Transcript Link</v>
      </c>
    </row>
    <row r="27" ht="180" spans="1:13">
      <c r="A27" s="1" t="s">
        <v>131</v>
      </c>
      <c r="B27" s="1" t="s">
        <v>13</v>
      </c>
      <c r="C27" s="4" t="s">
        <v>132</v>
      </c>
      <c r="D27" s="1" t="s">
        <v>133</v>
      </c>
      <c r="E27" s="1" t="s">
        <v>134</v>
      </c>
      <c r="F27" s="4" t="s">
        <v>17</v>
      </c>
      <c r="G27" s="1" t="s">
        <v>18</v>
      </c>
      <c r="H27" s="1" t="s">
        <v>19</v>
      </c>
      <c r="I27" s="1" t="s">
        <v>20</v>
      </c>
      <c r="J27" s="1" t="s">
        <v>135</v>
      </c>
      <c r="K27" s="1" t="s">
        <v>22</v>
      </c>
      <c r="L27" s="1" t="str">
        <f>HYPERLINK("https://files.afu.se/Downloads/Transcripts/0%20-%20Government/USA%20-%20NASA%20Kennedy/2022 11 21 - NASA's Kennedy Space Center - Slow Motion Liftoff of NASA's Artemis I Moon Rocket_aWCCNYJV3Zw - transcript (automated).pdf","Transcript Link")</f>
        <v>Transcript Link</v>
      </c>
      <c r="M27" s="2" t="str">
        <f>HYPERLINK("https://files.afu.se/Downloads/Transcripts/0%20-%20Government/USA%20-%20NASA%20Kennedy/2022 11 21 - NASA's Kennedy Space Center - Slow Motion Liftoff of NASA's Artemis I Moon Rocket_aWCCNYJV3Zw - transcript (automated).pdf","Transcript Link")</f>
        <v>Transcript Link</v>
      </c>
    </row>
    <row r="28" ht="180" spans="1:13">
      <c r="A28" s="1" t="s">
        <v>136</v>
      </c>
      <c r="B28" s="1" t="s">
        <v>13</v>
      </c>
      <c r="C28" s="4" t="s">
        <v>137</v>
      </c>
      <c r="D28" s="1" t="s">
        <v>138</v>
      </c>
      <c r="E28" s="1" t="s">
        <v>139</v>
      </c>
      <c r="F28" s="4" t="s">
        <v>17</v>
      </c>
      <c r="G28" s="1" t="s">
        <v>18</v>
      </c>
      <c r="H28" s="1" t="s">
        <v>19</v>
      </c>
      <c r="I28" s="1" t="s">
        <v>20</v>
      </c>
      <c r="J28" s="1" t="s">
        <v>140</v>
      </c>
      <c r="K28" s="1" t="s">
        <v>22</v>
      </c>
      <c r="L28" s="1" t="str">
        <f>HYPERLINK("https://files.afu.se/Downloads/Transcripts/0%20-%20Government/USA%20-%20NASA%20Kennedy/2022 11 16 - NASA's Kennedy Space Center - NASA's Artemis I Launches on Nov. 16, 2022_VUiEdqcLg-k - transcript (automated).pdf","Transcript Link")</f>
        <v>Transcript Link</v>
      </c>
      <c r="M28" s="2" t="str">
        <f>HYPERLINK("https://files.afu.se/Downloads/Transcripts/0%20-%20Government/USA%20-%20NASA%20Kennedy/2022 11 16 - NASA's Kennedy Space Center - NASA's Artemis I Launches on Nov. 16, 2022_VUiEdqcLg-k - transcript (automated).pdf","Transcript Link")</f>
        <v>Transcript Link</v>
      </c>
    </row>
    <row r="29" ht="180" spans="1:13">
      <c r="A29" s="1" t="s">
        <v>136</v>
      </c>
      <c r="B29" s="1" t="s">
        <v>13</v>
      </c>
      <c r="C29" s="4" t="s">
        <v>141</v>
      </c>
      <c r="D29" s="1" t="s">
        <v>142</v>
      </c>
      <c r="E29" s="1" t="s">
        <v>143</v>
      </c>
      <c r="F29" s="4" t="s">
        <v>17</v>
      </c>
      <c r="G29" s="1" t="s">
        <v>18</v>
      </c>
      <c r="H29" s="1" t="s">
        <v>19</v>
      </c>
      <c r="I29" s="1" t="s">
        <v>20</v>
      </c>
      <c r="J29" s="1" t="s">
        <v>144</v>
      </c>
      <c r="K29" s="1" t="s">
        <v>22</v>
      </c>
      <c r="L29" s="1" t="str">
        <f>HYPERLINK("https://files.afu.se/Downloads/Transcripts/0%20-%20Government/USA%20-%20NASA%20Kennedy/2022 11 16 - NASA's Kennedy Space Center - Artemis I Launch Director Addresses the Launch Team_gJUip5d66fw - transcript (automated).pdf","Transcript Link")</f>
        <v>Transcript Link</v>
      </c>
      <c r="M29" s="2" t="str">
        <f>HYPERLINK("https://files.afu.se/Downloads/Transcripts/0%20-%20Government/USA%20-%20NASA%20Kennedy/2022 11 16 - NASA's Kennedy Space Center - Artemis I Launch Director Addresses the Launch Team_gJUip5d66fw - transcript (automated).pdf","Transcript Link")</f>
        <v>Transcript Link</v>
      </c>
    </row>
    <row r="30" ht="180" spans="1:13">
      <c r="A30" s="1" t="s">
        <v>136</v>
      </c>
      <c r="B30" s="1" t="s">
        <v>13</v>
      </c>
      <c r="C30" s="4" t="s">
        <v>145</v>
      </c>
      <c r="D30" s="1" t="s">
        <v>146</v>
      </c>
      <c r="E30" s="1" t="s">
        <v>147</v>
      </c>
      <c r="F30" s="4" t="s">
        <v>17</v>
      </c>
      <c r="G30" s="1" t="s">
        <v>18</v>
      </c>
      <c r="H30" s="1" t="s">
        <v>19</v>
      </c>
      <c r="I30" s="1" t="s">
        <v>20</v>
      </c>
      <c r="J30" s="1" t="s">
        <v>148</v>
      </c>
      <c r="K30" s="1" t="s">
        <v>22</v>
      </c>
      <c r="L30" s="1" t="str">
        <f>HYPERLINK("https://files.afu.se/Downloads/Transcripts/0%20-%20Government/USA%20-%20NASA%20Kennedy/2022 11 16 - NASA's Kennedy Space Center - Artemis I Launch Control Status Update_OB_MnVgA-C0 - transcript (automated).pdf","Transcript Link")</f>
        <v>Transcript Link</v>
      </c>
      <c r="M30" s="2" t="str">
        <f>HYPERLINK("https://files.afu.se/Downloads/Transcripts/0%20-%20Government/USA%20-%20NASA%20Kennedy/2022 11 16 - NASA's Kennedy Space Center - Artemis I Launch Control Status Update_OB_MnVgA-C0 - transcript (automated).pdf","Transcript Link")</f>
        <v>Transcript Link</v>
      </c>
    </row>
    <row r="31" ht="180" spans="1:13">
      <c r="A31" s="1" t="s">
        <v>136</v>
      </c>
      <c r="B31" s="1" t="s">
        <v>13</v>
      </c>
      <c r="C31" s="4" t="s">
        <v>149</v>
      </c>
      <c r="D31" s="1" t="s">
        <v>150</v>
      </c>
      <c r="E31" s="1" t="s">
        <v>151</v>
      </c>
      <c r="F31" s="4" t="s">
        <v>17</v>
      </c>
      <c r="G31" s="1" t="s">
        <v>18</v>
      </c>
      <c r="H31" s="1" t="s">
        <v>19</v>
      </c>
      <c r="I31" s="1" t="s">
        <v>20</v>
      </c>
      <c r="J31" s="1" t="s">
        <v>152</v>
      </c>
      <c r="K31" s="1" t="s">
        <v>22</v>
      </c>
      <c r="L31" s="1" t="str">
        <f>HYPERLINK("https://files.afu.se/Downloads/Transcripts/0%20-%20Government/USA%20-%20NASA%20Kennedy/2022 11 16 - NASA's Kennedy Space Center - Red Crew is sent to Pad 39B_ZhvFXN8T8X0 - transcript (automated).pdf","Transcript Link")</f>
        <v>Transcript Link</v>
      </c>
      <c r="M31" s="2" t="str">
        <f>HYPERLINK("https://files.afu.se/Downloads/Transcripts/0%20-%20Government/USA%20-%20NASA%20Kennedy/2022 11 16 - NASA's Kennedy Space Center - Red Crew is sent to Pad 39B_ZhvFXN8T8X0 - transcript (automated).pdf","Transcript Link")</f>
        <v>Transcript Link</v>
      </c>
    </row>
    <row r="32" ht="180" spans="1:13">
      <c r="A32" s="1" t="s">
        <v>136</v>
      </c>
      <c r="B32" s="1" t="s">
        <v>13</v>
      </c>
      <c r="C32" s="4" t="s">
        <v>153</v>
      </c>
      <c r="D32" s="1" t="s">
        <v>154</v>
      </c>
      <c r="E32" s="1" t="s">
        <v>155</v>
      </c>
      <c r="F32" s="4" t="s">
        <v>17</v>
      </c>
      <c r="G32" s="1" t="s">
        <v>18</v>
      </c>
      <c r="H32" s="1" t="s">
        <v>19</v>
      </c>
      <c r="I32" s="1" t="s">
        <v>20</v>
      </c>
      <c r="J32" s="1" t="s">
        <v>156</v>
      </c>
      <c r="K32" s="1" t="s">
        <v>22</v>
      </c>
      <c r="L32" s="1" t="str">
        <f>HYPERLINK("https://files.afu.se/Downloads/Transcripts/0%20-%20Government/USA%20-%20NASA%20Kennedy/2022 11 16 - NASA's Kennedy Space Center - Artemis I Launch Broadcast Begins_YCttfniepys - transcript (automated).pdf","Transcript Link")</f>
        <v>Transcript Link</v>
      </c>
      <c r="M32" s="2" t="str">
        <f>HYPERLINK("https://files.afu.se/Downloads/Transcripts/0%20-%20Government/USA%20-%20NASA%20Kennedy/2022 11 16 - NASA's Kennedy Space Center - Artemis I Launch Broadcast Begins_YCttfniepys - transcript (automated).pdf","Transcript Link")</f>
        <v>Transcript Link</v>
      </c>
    </row>
    <row r="33" ht="180" spans="1:13">
      <c r="A33" s="1" t="s">
        <v>157</v>
      </c>
      <c r="B33" s="1" t="s">
        <v>13</v>
      </c>
      <c r="C33" s="4" t="s">
        <v>158</v>
      </c>
      <c r="D33" s="1" t="s">
        <v>159</v>
      </c>
      <c r="E33" s="1" t="s">
        <v>160</v>
      </c>
      <c r="F33" s="4" t="s">
        <v>17</v>
      </c>
      <c r="G33" s="1" t="s">
        <v>18</v>
      </c>
      <c r="H33" s="1" t="s">
        <v>19</v>
      </c>
      <c r="I33" s="1" t="s">
        <v>20</v>
      </c>
      <c r="J33" s="1" t="s">
        <v>161</v>
      </c>
      <c r="K33" s="1" t="s">
        <v>22</v>
      </c>
      <c r="L33" s="1" t="str">
        <f>HYPERLINK("https://files.afu.se/Downloads/Transcripts/0%20-%20Government/USA%20-%20NASA%20Kennedy/2022 10 05 - NASA's Kennedy Space Center - NASA SpaceX Crew-5 Prelaunch and Launch Highlights_-Y8jrH-IAuE - transcript (automated).pdf","Transcript Link")</f>
        <v>Transcript Link</v>
      </c>
      <c r="M33" s="2" t="str">
        <f>HYPERLINK("https://files.afu.se/Downloads/Transcripts/0%20-%20Government/USA%20-%20NASA%20Kennedy/2022 10 05 - NASA's Kennedy Space Center - NASA SpaceX Crew-5 Prelaunch and Launch Highlights_-Y8jrH-IAuE - transcript (automated).pdf","Transcript Link")</f>
        <v>Transcript Link</v>
      </c>
    </row>
    <row r="34" ht="180" spans="1:13">
      <c r="A34" s="1" t="s">
        <v>157</v>
      </c>
      <c r="B34" s="1" t="s">
        <v>13</v>
      </c>
      <c r="C34" s="4" t="s">
        <v>162</v>
      </c>
      <c r="D34" s="1" t="s">
        <v>163</v>
      </c>
      <c r="E34" s="1" t="s">
        <v>164</v>
      </c>
      <c r="F34" s="4" t="s">
        <v>17</v>
      </c>
      <c r="G34" s="1" t="s">
        <v>18</v>
      </c>
      <c r="H34" s="1" t="s">
        <v>19</v>
      </c>
      <c r="I34" s="1" t="s">
        <v>20</v>
      </c>
      <c r="J34" s="1" t="s">
        <v>165</v>
      </c>
      <c r="K34" s="1" t="s">
        <v>22</v>
      </c>
      <c r="L34" s="1" t="str">
        <f>HYPERLINK("https://files.afu.se/Downloads/Transcripts/0%20-%20Government/USA%20-%20NASA%20Kennedy/2022 10 05 - NASA's Kennedy Space Center - NASA SpaceX Crew-5 Launches to the International Space Station_juvexqBPyNo - transcript (automated).pdf","Transcript Link")</f>
        <v>Transcript Link</v>
      </c>
      <c r="M34" s="2" t="str">
        <f>HYPERLINK("https://files.afu.se/Downloads/Transcripts/0%20-%20Government/USA%20-%20NASA%20Kennedy/2022 10 05 - NASA's Kennedy Space Center - NASA SpaceX Crew-5 Launches to the International Space Station_juvexqBPyNo - transcript (automated).pdf","Transcript Link")</f>
        <v>Transcript Link</v>
      </c>
    </row>
    <row r="35" ht="180" spans="1:13">
      <c r="A35" s="1" t="s">
        <v>157</v>
      </c>
      <c r="B35" s="1" t="s">
        <v>13</v>
      </c>
      <c r="C35" s="4" t="s">
        <v>166</v>
      </c>
      <c r="D35" s="1" t="s">
        <v>167</v>
      </c>
      <c r="E35" s="1" t="s">
        <v>168</v>
      </c>
      <c r="F35" s="4" t="s">
        <v>17</v>
      </c>
      <c r="G35" s="1" t="s">
        <v>18</v>
      </c>
      <c r="H35" s="1" t="s">
        <v>19</v>
      </c>
      <c r="I35" s="1" t="s">
        <v>20</v>
      </c>
      <c r="J35" s="1" t="s">
        <v>169</v>
      </c>
      <c r="K35" s="1" t="s">
        <v>22</v>
      </c>
      <c r="L35" s="1" t="str">
        <f>HYPERLINK("https://files.afu.se/Downloads/Transcripts/0%20-%20Government/USA%20-%20NASA%20Kennedy/2022 10 05 - NASA's Kennedy Space Center - NASA Space X Crew-5 Astronauts Walk Across the Crew Access Arm at Launch Pad 39A_vShQYEs1M4M - transcript (automated).pdf","Transcript Link")</f>
        <v>Transcript Link</v>
      </c>
      <c r="M35" s="2" t="str">
        <f>HYPERLINK("https://files.afu.se/Downloads/Transcripts/0%20-%20Government/USA%20-%20NASA%20Kennedy/2022 10 05 - NASA's Kennedy Space Center - NASA Space X Crew-5 Astronauts Walk Across the Crew Access Arm at Launch Pad 39A_vShQYEs1M4M - transcript (automated).pdf","Transcript Link")</f>
        <v>Transcript Link</v>
      </c>
    </row>
    <row r="36" ht="180" spans="1:13">
      <c r="A36" s="1" t="s">
        <v>157</v>
      </c>
      <c r="B36" s="1" t="s">
        <v>13</v>
      </c>
      <c r="C36" s="4" t="s">
        <v>170</v>
      </c>
      <c r="D36" s="1" t="s">
        <v>171</v>
      </c>
      <c r="E36" s="1" t="s">
        <v>172</v>
      </c>
      <c r="F36" s="4" t="s">
        <v>17</v>
      </c>
      <c r="G36" s="1" t="s">
        <v>18</v>
      </c>
      <c r="H36" s="1" t="s">
        <v>19</v>
      </c>
      <c r="I36" s="1" t="s">
        <v>20</v>
      </c>
      <c r="J36" s="1" t="s">
        <v>173</v>
      </c>
      <c r="K36" s="1" t="s">
        <v>22</v>
      </c>
      <c r="L36" s="1" t="str">
        <f>HYPERLINK("https://files.afu.se/Downloads/Transcripts/0%20-%20Government/USA%20-%20NASA%20Kennedy/2022 10 05 - NASA's Kennedy Space Center - NASA SpaceX Crew-5 Astronauts Walk Out for Trip to Launch Pad 39A_eeoiI1rslyA - transcript (automated).pdf","Transcript Link")</f>
        <v>Transcript Link</v>
      </c>
      <c r="M36" s="2" t="str">
        <f>HYPERLINK("https://files.afu.se/Downloads/Transcripts/0%20-%20Government/USA%20-%20NASA%20Kennedy/2022 10 05 - NASA's Kennedy Space Center - NASA SpaceX Crew-5 Astronauts Walk Out for Trip to Launch Pad 39A_eeoiI1rslyA - transcript (automated).pdf","Transcript Link")</f>
        <v>Transcript Link</v>
      </c>
    </row>
    <row r="37" ht="180" spans="1:13">
      <c r="A37" s="1" t="s">
        <v>174</v>
      </c>
      <c r="B37" s="1" t="s">
        <v>13</v>
      </c>
      <c r="C37" s="4" t="s">
        <v>175</v>
      </c>
      <c r="D37" s="1" t="s">
        <v>176</v>
      </c>
      <c r="E37" s="1" t="s">
        <v>177</v>
      </c>
      <c r="F37" s="4" t="s">
        <v>17</v>
      </c>
      <c r="G37" s="1" t="s">
        <v>18</v>
      </c>
      <c r="H37" s="1" t="s">
        <v>19</v>
      </c>
      <c r="I37" s="1" t="s">
        <v>20</v>
      </c>
      <c r="J37" s="1" t="s">
        <v>178</v>
      </c>
      <c r="K37" s="1" t="s">
        <v>22</v>
      </c>
      <c r="L37" s="1" t="str">
        <f>HYPERLINK("https://files.afu.se/Downloads/Transcripts/0%20-%20Government/USA%20-%20NASA%20Kennedy/2022 08 31 - NASA's Kennedy Space Center - CCP Mission Highlights_JTVS9M5xlpg - transcript (automated).pdf","Transcript Link")</f>
        <v>Transcript Link</v>
      </c>
      <c r="M37" s="2" t="str">
        <f>HYPERLINK("https://files.afu.se/Downloads/Transcripts/0%20-%20Government/USA%20-%20NASA%20Kennedy/2022 08 31 - NASA's Kennedy Space Center - CCP Mission Highlights_JTVS9M5xlpg - transcript (automated).pdf","Transcript Link")</f>
        <v>Transcript Link</v>
      </c>
    </row>
    <row r="38" ht="180" spans="1:13">
      <c r="A38" s="1" t="s">
        <v>174</v>
      </c>
      <c r="B38" s="1" t="s">
        <v>13</v>
      </c>
      <c r="C38" s="4" t="s">
        <v>179</v>
      </c>
      <c r="D38" s="1" t="s">
        <v>180</v>
      </c>
      <c r="E38" s="1" t="s">
        <v>181</v>
      </c>
      <c r="F38" s="4" t="s">
        <v>17</v>
      </c>
      <c r="G38" s="1" t="s">
        <v>18</v>
      </c>
      <c r="H38" s="1" t="s">
        <v>19</v>
      </c>
      <c r="I38" s="1" t="s">
        <v>20</v>
      </c>
      <c r="J38" s="1" t="s">
        <v>182</v>
      </c>
      <c r="K38" s="1" t="s">
        <v>22</v>
      </c>
      <c r="L38" s="1" t="str">
        <f>HYPERLINK("https://files.afu.se/Downloads/Transcripts/0%20-%20Government/USA%20-%20NASA%20Kennedy/2022 08 31 - NASA's Kennedy Space Center - Elliot Sugar Plantation Ruins at Kennedy Space Center_DMEiZ1dAnm4 - transcript (automated).pdf","Transcript Link")</f>
        <v>Transcript Link</v>
      </c>
      <c r="M38" s="2" t="str">
        <f>HYPERLINK("https://files.afu.se/Downloads/Transcripts/0%20-%20Government/USA%20-%20NASA%20Kennedy/2022 08 31 - NASA's Kennedy Space Center - Elliot Sugar Plantation Ruins at Kennedy Space Center_DMEiZ1dAnm4 - transcript (automated).pdf","Transcript Link")</f>
        <v>Transcript Link</v>
      </c>
    </row>
    <row r="39" ht="180" spans="1:13">
      <c r="A39" s="1" t="s">
        <v>183</v>
      </c>
      <c r="B39" s="1" t="s">
        <v>13</v>
      </c>
      <c r="C39" s="4" t="s">
        <v>184</v>
      </c>
      <c r="D39" s="1" t="s">
        <v>185</v>
      </c>
      <c r="E39" s="1" t="s">
        <v>186</v>
      </c>
      <c r="F39" s="4" t="s">
        <v>17</v>
      </c>
      <c r="G39" s="1" t="s">
        <v>18</v>
      </c>
      <c r="H39" s="1" t="s">
        <v>19</v>
      </c>
      <c r="I39" s="1" t="s">
        <v>20</v>
      </c>
      <c r="J39" s="1" t="s">
        <v>187</v>
      </c>
      <c r="K39" s="1" t="s">
        <v>22</v>
      </c>
      <c r="L39" s="1" t="str">
        <f>HYPERLINK("https://files.afu.se/Downloads/Transcripts/0%20-%20Government/USA%20-%20NASA%20Kennedy/2022 08 17 - NASA's Kennedy Space Center - Astounding View of NASA’s Artemis I Rocket at Rollout_xpO4_IJINAM - transcript (automated).pdf","Transcript Link")</f>
        <v>Transcript Link</v>
      </c>
      <c r="M39" s="2" t="str">
        <f>HYPERLINK("https://files.afu.se/Downloads/Transcripts/0%20-%20Government/USA%20-%20NASA%20Kennedy/2022 08 17 - NASA's Kennedy Space Center - Astounding View of NASA’s Artemis I Rocket at Rollout_xpO4_IJINAM - transcript (automated).pdf","Transcript Link")</f>
        <v>Transcript Link</v>
      </c>
    </row>
    <row r="40" ht="180" spans="1:13">
      <c r="A40" s="1" t="s">
        <v>188</v>
      </c>
      <c r="B40" s="1" t="s">
        <v>13</v>
      </c>
      <c r="C40" s="4" t="s">
        <v>189</v>
      </c>
      <c r="D40" s="1" t="s">
        <v>190</v>
      </c>
      <c r="E40" s="1" t="s">
        <v>191</v>
      </c>
      <c r="F40" s="4" t="s">
        <v>17</v>
      </c>
      <c r="G40" s="1" t="s">
        <v>18</v>
      </c>
      <c r="H40" s="1" t="s">
        <v>19</v>
      </c>
      <c r="I40" s="1" t="s">
        <v>20</v>
      </c>
      <c r="J40" s="1" t="s">
        <v>192</v>
      </c>
      <c r="K40" s="1" t="s">
        <v>22</v>
      </c>
      <c r="L40" s="1" t="str">
        <f>HYPERLINK("https://files.afu.se/Downloads/Transcripts/0%20-%20Government/USA%20-%20NASA%20Kennedy/2022 07 19 - NASA's Kennedy Space Center - CubeSat Launch Initiative and ELaNa Montage_eKTHNm1X7Fo - transcript (automated).pdf","Transcript Link")</f>
        <v>Transcript Link</v>
      </c>
      <c r="M40" s="2" t="str">
        <f>HYPERLINK("https://files.afu.se/Downloads/Transcripts/0%20-%20Government/USA%20-%20NASA%20Kennedy/2022 07 19 - NASA's Kennedy Space Center - CubeSat Launch Initiative and ELaNa Montage_eKTHNm1X7Fo - transcript (automated).pdf","Transcript Link")</f>
        <v>Transcript Link</v>
      </c>
    </row>
    <row r="41" ht="180" spans="1:13">
      <c r="A41" s="1" t="s">
        <v>193</v>
      </c>
      <c r="B41" s="1" t="s">
        <v>13</v>
      </c>
      <c r="C41" s="4" t="s">
        <v>194</v>
      </c>
      <c r="D41" s="1" t="s">
        <v>195</v>
      </c>
      <c r="E41" s="1" t="s">
        <v>196</v>
      </c>
      <c r="F41" s="4" t="s">
        <v>17</v>
      </c>
      <c r="G41" s="1" t="s">
        <v>18</v>
      </c>
      <c r="H41" s="1" t="s">
        <v>19</v>
      </c>
      <c r="I41" s="1" t="s">
        <v>20</v>
      </c>
      <c r="J41" s="1" t="s">
        <v>197</v>
      </c>
      <c r="K41" s="1" t="s">
        <v>22</v>
      </c>
      <c r="L41" s="1" t="str">
        <f>HYPERLINK("https://files.afu.se/Downloads/Transcripts/0%20-%20Government/USA%20-%20NASA%20Kennedy/2022 07 15 - NASA's Kennedy Space Center - SpaceX’s 25th Resupply Services Mission  Spacecraft Separation_oP92I9-5u3k - transcript (automated).pdf","Transcript Link")</f>
        <v>Transcript Link</v>
      </c>
      <c r="M41" s="2" t="str">
        <f>HYPERLINK("https://files.afu.se/Downloads/Transcripts/0%20-%20Government/USA%20-%20NASA%20Kennedy/2022 07 15 - NASA's Kennedy Space Center - SpaceX’s 25th Resupply Services Mission  Spacecraft Separation_oP92I9-5u3k - transcript (automated).pdf","Transcript Link")</f>
        <v>Transcript Link</v>
      </c>
    </row>
    <row r="42" ht="180" spans="1:13">
      <c r="A42" s="1" t="s">
        <v>193</v>
      </c>
      <c r="B42" s="1" t="s">
        <v>13</v>
      </c>
      <c r="C42" s="4" t="s">
        <v>198</v>
      </c>
      <c r="D42" s="1" t="s">
        <v>199</v>
      </c>
      <c r="E42" s="1" t="s">
        <v>200</v>
      </c>
      <c r="F42" s="4" t="s">
        <v>17</v>
      </c>
      <c r="G42" s="1" t="s">
        <v>18</v>
      </c>
      <c r="H42" s="1" t="s">
        <v>19</v>
      </c>
      <c r="I42" s="1" t="s">
        <v>20</v>
      </c>
      <c r="J42" s="1" t="s">
        <v>201</v>
      </c>
      <c r="K42" s="1" t="s">
        <v>22</v>
      </c>
      <c r="L42" s="1" t="str">
        <f>HYPERLINK("https://files.afu.se/Downloads/Transcripts/0%20-%20Government/USA%20-%20NASA%20Kennedy/2022 07 15 - NASA's Kennedy Space Center - SpaceX’s 25th Resupply Services Mission  Launch_m1WmaRrAvfU - transcript (automated).pdf","Transcript Link")</f>
        <v>Transcript Link</v>
      </c>
      <c r="M42" s="2" t="str">
        <f>HYPERLINK("https://files.afu.se/Downloads/Transcripts/0%20-%20Government/USA%20-%20NASA%20Kennedy/2022 07 15 - NASA's Kennedy Space Center - SpaceX’s 25th Resupply Services Mission  Launch_m1WmaRrAvfU - transcript (automated).pdf","Transcript Link")</f>
        <v>Transcript Link</v>
      </c>
    </row>
    <row r="43" ht="180" spans="1:13">
      <c r="A43" s="1" t="s">
        <v>193</v>
      </c>
      <c r="B43" s="1" t="s">
        <v>13</v>
      </c>
      <c r="C43" s="4" t="s">
        <v>202</v>
      </c>
      <c r="D43" s="1" t="s">
        <v>203</v>
      </c>
      <c r="E43" s="1" t="s">
        <v>204</v>
      </c>
      <c r="F43" s="4" t="s">
        <v>17</v>
      </c>
      <c r="G43" s="1" t="s">
        <v>18</v>
      </c>
      <c r="H43" s="1" t="s">
        <v>19</v>
      </c>
      <c r="I43" s="1" t="s">
        <v>20</v>
      </c>
      <c r="J43" s="1" t="s">
        <v>205</v>
      </c>
      <c r="K43" s="1" t="s">
        <v>22</v>
      </c>
      <c r="L43" s="1" t="str">
        <f>HYPERLINK("https://files.afu.se/Downloads/Transcripts/0%20-%20Government/USA%20-%20NASA%20Kennedy/2022 07 15 - NASA's Kennedy Space Center - SpaceX’s 25th Resupply Services Mission  Broadcast Begins_LEMWJM-sySY - transcript (automated).pdf","Transcript Link")</f>
        <v>Transcript Link</v>
      </c>
      <c r="M43" s="2" t="str">
        <f>HYPERLINK("https://files.afu.se/Downloads/Transcripts/0%20-%20Government/USA%20-%20NASA%20Kennedy/2022 07 15 - NASA's Kennedy Space Center - SpaceX’s 25th Resupply Services Mission  Broadcast Begins_LEMWJM-sySY - transcript (automated).pdf","Transcript Link")</f>
        <v>Transcript Link</v>
      </c>
    </row>
    <row r="44" ht="180" spans="1:13">
      <c r="A44" s="1" t="s">
        <v>206</v>
      </c>
      <c r="B44" s="1" t="s">
        <v>13</v>
      </c>
      <c r="C44" s="4" t="s">
        <v>207</v>
      </c>
      <c r="D44" s="1" t="s">
        <v>208</v>
      </c>
      <c r="E44" s="1" t="s">
        <v>209</v>
      </c>
      <c r="F44" s="4" t="s">
        <v>17</v>
      </c>
      <c r="G44" s="1" t="s">
        <v>18</v>
      </c>
      <c r="H44" s="1" t="s">
        <v>19</v>
      </c>
      <c r="I44" s="1" t="s">
        <v>20</v>
      </c>
      <c r="J44" s="1" t="s">
        <v>210</v>
      </c>
      <c r="K44" s="1" t="s">
        <v>22</v>
      </c>
      <c r="L44" s="1" t="str">
        <f>HYPERLINK("https://files.afu.se/Downloads/Transcripts/0%20-%20Government/USA%20-%20NASA%20Kennedy/2022 07 12 - NASA's Kennedy Space Center - Lessons from our Leaders  Celebrating the 60th Anniversary of Kennedy Space Center_B1CmzK2AcQQ - transcript (automated).pdf","Transcript Link")</f>
        <v>Transcript Link</v>
      </c>
      <c r="M44" s="2" t="str">
        <f>HYPERLINK("https://files.afu.se/Downloads/Transcripts/0%20-%20Government/USA%20-%20NASA%20Kennedy/2022 07 12 - NASA's Kennedy Space Center - Lessons from our Leaders  Celebrating the 60th Anniversary of Kennedy Space Center_B1CmzK2AcQQ - transcript (automated).pdf","Transcript Link")</f>
        <v>Transcript Link</v>
      </c>
    </row>
    <row r="45" ht="180" spans="1:13">
      <c r="A45" s="1" t="s">
        <v>211</v>
      </c>
      <c r="B45" s="1" t="s">
        <v>13</v>
      </c>
      <c r="C45" s="4" t="s">
        <v>212</v>
      </c>
      <c r="D45" s="1" t="s">
        <v>213</v>
      </c>
      <c r="E45" s="1" t="s">
        <v>214</v>
      </c>
      <c r="F45" s="4" t="s">
        <v>17</v>
      </c>
      <c r="G45" s="1" t="s">
        <v>18</v>
      </c>
      <c r="H45" s="1" t="s">
        <v>19</v>
      </c>
      <c r="I45" s="1" t="s">
        <v>20</v>
      </c>
      <c r="J45" s="1" t="s">
        <v>215</v>
      </c>
      <c r="K45" s="1" t="s">
        <v>22</v>
      </c>
      <c r="L45" s="1" t="str">
        <f>HYPERLINK("https://files.afu.se/Downloads/Transcripts/0%20-%20Government/USA%20-%20NASA%20Kennedy/2022 06 10 - NASA's Kennedy Space Center - Kennedy Space Center  Six Decades of Making History_9Gn4LyWtQwg - transcript (automated).pdf","Transcript Link")</f>
        <v>Transcript Link</v>
      </c>
      <c r="M45" s="2" t="str">
        <f>HYPERLINK("https://files.afu.se/Downloads/Transcripts/0%20-%20Government/USA%20-%20NASA%20Kennedy/2022 06 10 - NASA's Kennedy Space Center - Kennedy Space Center  Six Decades of Making History_9Gn4LyWtQwg - transcript (automated).pdf","Transcript Link")</f>
        <v>Transcript Link</v>
      </c>
    </row>
    <row r="46" ht="180" spans="1:13">
      <c r="A46" s="1" t="s">
        <v>216</v>
      </c>
      <c r="B46" s="1" t="s">
        <v>13</v>
      </c>
      <c r="C46" s="4" t="s">
        <v>217</v>
      </c>
      <c r="D46" s="1" t="s">
        <v>218</v>
      </c>
      <c r="E46" s="1" t="s">
        <v>219</v>
      </c>
      <c r="F46" s="4" t="s">
        <v>17</v>
      </c>
      <c r="G46" s="1" t="s">
        <v>18</v>
      </c>
      <c r="H46" s="1" t="s">
        <v>19</v>
      </c>
      <c r="I46" s="1" t="s">
        <v>20</v>
      </c>
      <c r="J46" s="1" t="s">
        <v>220</v>
      </c>
      <c r="K46" s="1" t="s">
        <v>22</v>
      </c>
      <c r="L46" s="1" t="str">
        <f>HYPERLINK("https://files.afu.se/Downloads/Transcripts/0%20-%20Government/USA%20-%20NASA%20Kennedy/2022 06 02 - NASA's Kennedy Space Center - Lightning Strikes at NASA’s Kennedy Space Center_I5CNP-JXJjM - transcript (automated).pdf","Transcript Link")</f>
        <v>Transcript Link</v>
      </c>
      <c r="M46" s="2" t="str">
        <f>HYPERLINK("https://files.afu.se/Downloads/Transcripts/0%20-%20Government/USA%20-%20NASA%20Kennedy/2022 06 02 - NASA's Kennedy Space Center - Lightning Strikes at NASA’s Kennedy Space Center_I5CNP-JXJjM - transcript (automated).pdf","Transcript Link")</f>
        <v>Transcript Link</v>
      </c>
    </row>
    <row r="47" ht="180" spans="1:13">
      <c r="A47" s="1" t="s">
        <v>221</v>
      </c>
      <c r="B47" s="1" t="s">
        <v>13</v>
      </c>
      <c r="C47" s="4" t="s">
        <v>222</v>
      </c>
      <c r="D47" s="1" t="s">
        <v>223</v>
      </c>
      <c r="E47" s="1" t="s">
        <v>224</v>
      </c>
      <c r="F47" s="4" t="s">
        <v>17</v>
      </c>
      <c r="G47" s="1" t="s">
        <v>18</v>
      </c>
      <c r="H47" s="1" t="s">
        <v>19</v>
      </c>
      <c r="I47" s="1" t="s">
        <v>20</v>
      </c>
      <c r="J47" s="1" t="s">
        <v>225</v>
      </c>
      <c r="K47" s="1" t="s">
        <v>22</v>
      </c>
      <c r="L47" s="1" t="str">
        <f>HYPERLINK("https://files.afu.se/Downloads/Transcripts/0%20-%20Government/USA%20-%20NASA%20Kennedy/2022 05 19 - NASA's Kennedy Space Center - NASA's Boeing OFT-2 Spacecraft Separation_YoG0nRbJdkY - transcript (automated).pdf","Transcript Link")</f>
        <v>Transcript Link</v>
      </c>
      <c r="M47" s="2" t="str">
        <f>HYPERLINK("https://files.afu.se/Downloads/Transcripts/0%20-%20Government/USA%20-%20NASA%20Kennedy/2022 05 19 - NASA's Kennedy Space Center - NASA's Boeing OFT-2 Spacecraft Separation_YoG0nRbJdkY - transcript (automated).pdf","Transcript Link")</f>
        <v>Transcript Link</v>
      </c>
    </row>
    <row r="48" ht="180" spans="1:13">
      <c r="A48" s="1" t="s">
        <v>221</v>
      </c>
      <c r="B48" s="1" t="s">
        <v>13</v>
      </c>
      <c r="C48" s="4" t="s">
        <v>226</v>
      </c>
      <c r="D48" s="1" t="s">
        <v>227</v>
      </c>
      <c r="E48" s="1" t="s">
        <v>228</v>
      </c>
      <c r="F48" s="4" t="s">
        <v>17</v>
      </c>
      <c r="G48" s="1" t="s">
        <v>18</v>
      </c>
      <c r="H48" s="1" t="s">
        <v>19</v>
      </c>
      <c r="I48" s="1" t="s">
        <v>20</v>
      </c>
      <c r="J48" s="1" t="s">
        <v>229</v>
      </c>
      <c r="K48" s="1" t="s">
        <v>22</v>
      </c>
      <c r="L48" s="1" t="str">
        <f>HYPERLINK("https://files.afu.se/Downloads/Transcripts/0%20-%20Government/USA%20-%20NASA%20Kennedy/2022 05 19 - NASA's Kennedy Space Center - Liftoff of NASA's Boeing Orbital Flight Test-2_4In3exHN5V8 - transcript (automated).pdf","Transcript Link")</f>
        <v>Transcript Link</v>
      </c>
      <c r="M48" s="2" t="str">
        <f>HYPERLINK("https://files.afu.se/Downloads/Transcripts/0%20-%20Government/USA%20-%20NASA%20Kennedy/2022 05 19 - NASA's Kennedy Space Center - Liftoff of NASA's Boeing Orbital Flight Test-2_4In3exHN5V8 - transcript (automated).pdf","Transcript Link")</f>
        <v>Transcript Link</v>
      </c>
    </row>
    <row r="49" ht="180" spans="1:13">
      <c r="A49" s="1" t="s">
        <v>221</v>
      </c>
      <c r="B49" s="1" t="s">
        <v>13</v>
      </c>
      <c r="C49" s="4" t="s">
        <v>230</v>
      </c>
      <c r="D49" s="1" t="s">
        <v>231</v>
      </c>
      <c r="E49" s="1" t="s">
        <v>232</v>
      </c>
      <c r="F49" s="4" t="s">
        <v>17</v>
      </c>
      <c r="G49" s="1" t="s">
        <v>18</v>
      </c>
      <c r="H49" s="1" t="s">
        <v>19</v>
      </c>
      <c r="I49" s="1" t="s">
        <v>20</v>
      </c>
      <c r="J49" s="1" t="s">
        <v>233</v>
      </c>
      <c r="K49" s="1" t="s">
        <v>22</v>
      </c>
      <c r="L49" s="1" t="str">
        <f>HYPERLINK("https://files.afu.se/Downloads/Transcripts/0%20-%20Government/USA%20-%20NASA%20Kennedy/2022 05 19 - NASA's Kennedy Space Center - NASA's Boeing OFT-2 Poll for Launch_PC_NsLXHo6c - transcript (automated).pdf","Transcript Link")</f>
        <v>Transcript Link</v>
      </c>
      <c r="M49" s="2" t="str">
        <f>HYPERLINK("https://files.afu.se/Downloads/Transcripts/0%20-%20Government/USA%20-%20NASA%20Kennedy/2022 05 19 - NASA's Kennedy Space Center - NASA's Boeing OFT-2 Poll for Launch_PC_NsLXHo6c - transcript (automated).pdf","Transcript Link")</f>
        <v>Transcript Link</v>
      </c>
    </row>
    <row r="50" ht="180" spans="1:13">
      <c r="A50" s="1" t="s">
        <v>221</v>
      </c>
      <c r="B50" s="1" t="s">
        <v>13</v>
      </c>
      <c r="C50" s="4" t="s">
        <v>234</v>
      </c>
      <c r="D50" s="1" t="s">
        <v>235</v>
      </c>
      <c r="E50" s="1" t="s">
        <v>236</v>
      </c>
      <c r="F50" s="4" t="s">
        <v>17</v>
      </c>
      <c r="G50" s="1" t="s">
        <v>18</v>
      </c>
      <c r="H50" s="1" t="s">
        <v>19</v>
      </c>
      <c r="I50" s="1" t="s">
        <v>20</v>
      </c>
      <c r="J50" s="1" t="s">
        <v>237</v>
      </c>
      <c r="K50" s="1" t="s">
        <v>22</v>
      </c>
      <c r="L50" s="1" t="str">
        <f>HYPERLINK("https://files.afu.se/Downloads/Transcripts/0%20-%20Government/USA%20-%20NASA%20Kennedy/2022 05 19 - NASA's Kennedy Space Center - NASA's Boeing OFT-2 Broadcast Begins_PHOBxVzCFVo - transcript (automated).pdf","Transcript Link")</f>
        <v>Transcript Link</v>
      </c>
      <c r="M50" s="2" t="str">
        <f>HYPERLINK("https://files.afu.se/Downloads/Transcripts/0%20-%20Government/USA%20-%20NASA%20Kennedy/2022 05 19 - NASA's Kennedy Space Center - NASA's Boeing OFT-2 Broadcast Begins_PHOBxVzCFVo - transcript (automated).pdf","Transcript Link")</f>
        <v>Transcript Link</v>
      </c>
    </row>
    <row r="51" ht="180" spans="1:13">
      <c r="A51" s="1" t="s">
        <v>238</v>
      </c>
      <c r="B51" s="1" t="s">
        <v>13</v>
      </c>
      <c r="C51" s="4" t="s">
        <v>239</v>
      </c>
      <c r="D51" s="1" t="s">
        <v>240</v>
      </c>
      <c r="E51" s="1" t="s">
        <v>241</v>
      </c>
      <c r="F51" s="4" t="s">
        <v>17</v>
      </c>
      <c r="G51" s="1" t="s">
        <v>18</v>
      </c>
      <c r="H51" s="1" t="s">
        <v>19</v>
      </c>
      <c r="I51" s="1" t="s">
        <v>20</v>
      </c>
      <c r="J51" s="1" t="s">
        <v>242</v>
      </c>
      <c r="K51" s="1" t="s">
        <v>22</v>
      </c>
      <c r="L51" s="1" t="str">
        <f>HYPERLINK("https://files.afu.se/Downloads/Transcripts/0%20-%20Government/USA%20-%20NASA%20Kennedy/2022 05 04 - NASA's Kennedy Space Center - 2022 Kennedy Space Center Community Leaders Update_X11CKvSHks0 - transcript (automated).pdf","Transcript Link")</f>
        <v>Transcript Link</v>
      </c>
      <c r="M51" s="2" t="str">
        <f>HYPERLINK("https://files.afu.se/Downloads/Transcripts/0%20-%20Government/USA%20-%20NASA%20Kennedy/2022 05 04 - NASA's Kennedy Space Center - 2022 Kennedy Space Center Community Leaders Update_X11CKvSHks0 - transcript (automated).pdf","Transcript Link")</f>
        <v>Transcript Link</v>
      </c>
    </row>
    <row r="52" ht="180" spans="1:13">
      <c r="A52" s="1" t="s">
        <v>243</v>
      </c>
      <c r="B52" s="1" t="s">
        <v>13</v>
      </c>
      <c r="C52" s="4" t="s">
        <v>244</v>
      </c>
      <c r="D52" s="1" t="s">
        <v>245</v>
      </c>
      <c r="E52" s="1" t="s">
        <v>246</v>
      </c>
      <c r="F52" s="4" t="s">
        <v>17</v>
      </c>
      <c r="G52" s="1" t="s">
        <v>18</v>
      </c>
      <c r="H52" s="1" t="s">
        <v>19</v>
      </c>
      <c r="I52" s="1" t="s">
        <v>20</v>
      </c>
      <c r="J52" s="1" t="s">
        <v>247</v>
      </c>
      <c r="K52" s="1" t="s">
        <v>22</v>
      </c>
      <c r="L52" s="1" t="str">
        <f>HYPERLINK("https://files.afu.se/Downloads/Transcripts/0%20-%20Government/USA%20-%20NASA%20Kennedy/2022 04 27 - NASA's Kennedy Space Center - NASA SpaceX Crew-4 Prelaunch and Launch Highlights_zA8hzms2UYY - transcript (automated).pdf","Transcript Link")</f>
        <v>Transcript Link</v>
      </c>
      <c r="M52" s="2" t="str">
        <f>HYPERLINK("https://files.afu.se/Downloads/Transcripts/0%20-%20Government/USA%20-%20NASA%20Kennedy/2022 04 27 - NASA's Kennedy Space Center - NASA SpaceX Crew-4 Prelaunch and Launch Highlights_zA8hzms2UYY - transcript (automated).pdf","Transcript Link")</f>
        <v>Transcript Link</v>
      </c>
    </row>
    <row r="53" ht="180" spans="1:13">
      <c r="A53" s="1" t="s">
        <v>243</v>
      </c>
      <c r="B53" s="1" t="s">
        <v>13</v>
      </c>
      <c r="C53" s="4" t="s">
        <v>248</v>
      </c>
      <c r="D53" s="1" t="s">
        <v>249</v>
      </c>
      <c r="E53" s="1" t="s">
        <v>250</v>
      </c>
      <c r="F53" s="4" t="s">
        <v>17</v>
      </c>
      <c r="G53" s="1" t="s">
        <v>18</v>
      </c>
      <c r="H53" s="1" t="s">
        <v>19</v>
      </c>
      <c r="I53" s="1" t="s">
        <v>20</v>
      </c>
      <c r="J53" s="1" t="s">
        <v>251</v>
      </c>
      <c r="K53" s="1" t="s">
        <v>22</v>
      </c>
      <c r="L53" s="1" t="str">
        <f>HYPERLINK("https://files.afu.se/Downloads/Transcripts/0%20-%20Government/USA%20-%20NASA%20Kennedy/2022 04 27 - NASA's Kennedy Space Center - NASA SpaceX Crew-4 Launches to the International Space Station_TSHGHIXzxEM - transcript (automated).pdf","Transcript Link")</f>
        <v>Transcript Link</v>
      </c>
      <c r="M53" s="2" t="str">
        <f>HYPERLINK("https://files.afu.se/Downloads/Transcripts/0%20-%20Government/USA%20-%20NASA%20Kennedy/2022 04 27 - NASA's Kennedy Space Center - NASA SpaceX Crew-4 Launches to the International Space Station_TSHGHIXzxEM - transcript (automated).pdf","Transcript Link")</f>
        <v>Transcript Link</v>
      </c>
    </row>
    <row r="54" ht="180" spans="1:13">
      <c r="A54" s="1" t="s">
        <v>243</v>
      </c>
      <c r="B54" s="1" t="s">
        <v>13</v>
      </c>
      <c r="C54" s="4" t="s">
        <v>252</v>
      </c>
      <c r="D54" s="1" t="s">
        <v>253</v>
      </c>
      <c r="E54" s="1" t="s">
        <v>254</v>
      </c>
      <c r="F54" s="4" t="s">
        <v>17</v>
      </c>
      <c r="G54" s="1" t="s">
        <v>18</v>
      </c>
      <c r="H54" s="1" t="s">
        <v>19</v>
      </c>
      <c r="I54" s="1" t="s">
        <v>20</v>
      </c>
      <c r="J54" s="1" t="s">
        <v>255</v>
      </c>
      <c r="K54" s="1" t="s">
        <v>22</v>
      </c>
      <c r="L54" s="1" t="str">
        <f>HYPERLINK("https://files.afu.se/Downloads/Transcripts/0%20-%20Government/USA%20-%20NASA%20Kennedy/2022 04 27 - NASA's Kennedy Space Center - SpaceX Crew-4 Access Arm is Retracted from Dragon Spacecraft_1dw9gHzD1KI - transcript (automated).pdf","Transcript Link")</f>
        <v>Transcript Link</v>
      </c>
      <c r="M54" s="2" t="str">
        <f>HYPERLINK("https://files.afu.se/Downloads/Transcripts/0%20-%20Government/USA%20-%20NASA%20Kennedy/2022 04 27 - NASA's Kennedy Space Center - SpaceX Crew-4 Access Arm is Retracted from Dragon Spacecraft_1dw9gHzD1KI - transcript (automated).pdf","Transcript Link")</f>
        <v>Transcript Link</v>
      </c>
    </row>
    <row r="55" ht="180" spans="1:13">
      <c r="A55" s="1" t="s">
        <v>243</v>
      </c>
      <c r="B55" s="1" t="s">
        <v>13</v>
      </c>
      <c r="C55" s="4" t="s">
        <v>256</v>
      </c>
      <c r="D55" s="1" t="s">
        <v>257</v>
      </c>
      <c r="E55" s="1" t="s">
        <v>258</v>
      </c>
      <c r="F55" s="4" t="s">
        <v>17</v>
      </c>
      <c r="G55" s="1" t="s">
        <v>18</v>
      </c>
      <c r="H55" s="1" t="s">
        <v>19</v>
      </c>
      <c r="I55" s="1" t="s">
        <v>20</v>
      </c>
      <c r="J55" s="1" t="s">
        <v>259</v>
      </c>
      <c r="K55" s="1" t="s">
        <v>22</v>
      </c>
      <c r="L55" s="1" t="str">
        <f>HYPERLINK("https://files.afu.se/Downloads/Transcripts/0%20-%20Government/USA%20-%20NASA%20Kennedy/2022 04 27 - NASA's Kennedy Space Center - SpaceX Crew-4 Hatch is Closed on the Crew Dragon Spacecraft_CMKP9O5ZI84 - transcript (automated).pdf","Transcript Link")</f>
        <v>Transcript Link</v>
      </c>
      <c r="M55" s="2" t="str">
        <f>HYPERLINK("https://files.afu.se/Downloads/Transcripts/0%20-%20Government/USA%20-%20NASA%20Kennedy/2022 04 27 - NASA's Kennedy Space Center - SpaceX Crew-4 Hatch is Closed on the Crew Dragon Spacecraft_CMKP9O5ZI84 - transcript (automated).pdf","Transcript Link")</f>
        <v>Transcript Link</v>
      </c>
    </row>
    <row r="56" ht="180" spans="1:13">
      <c r="A56" s="1" t="s">
        <v>243</v>
      </c>
      <c r="B56" s="1" t="s">
        <v>13</v>
      </c>
      <c r="C56" s="4" t="s">
        <v>260</v>
      </c>
      <c r="D56" s="1" t="s">
        <v>261</v>
      </c>
      <c r="E56" s="1" t="s">
        <v>262</v>
      </c>
      <c r="F56" s="4" t="s">
        <v>17</v>
      </c>
      <c r="G56" s="1" t="s">
        <v>18</v>
      </c>
      <c r="H56" s="1" t="s">
        <v>19</v>
      </c>
      <c r="I56" s="1" t="s">
        <v>20</v>
      </c>
      <c r="J56" s="1" t="s">
        <v>263</v>
      </c>
      <c r="K56" s="1" t="s">
        <v>22</v>
      </c>
      <c r="L56" s="1" t="str">
        <f>HYPERLINK("https://files.afu.se/Downloads/Transcripts/0%20-%20Government/USA%20-%20NASA%20Kennedy/2022 04 27 - NASA's Kennedy Space Center - NASA Space X Crew-4 Astronauts Walk Across the Crew Access Arm at Launch Pad 39A_2tsKGNx5kP8 - transcript (automated).pdf","Transcript Link")</f>
        <v>Transcript Link</v>
      </c>
      <c r="M56" s="2" t="str">
        <f>HYPERLINK("https://files.afu.se/Downloads/Transcripts/0%20-%20Government/USA%20-%20NASA%20Kennedy/2022 04 27 - NASA's Kennedy Space Center - NASA Space X Crew-4 Astronauts Walk Across the Crew Access Arm at Launch Pad 39A_2tsKGNx5kP8 - transcript (automated).pdf","Transcript Link")</f>
        <v>Transcript Link</v>
      </c>
    </row>
    <row r="57" ht="180" spans="1:13">
      <c r="A57" s="1" t="s">
        <v>243</v>
      </c>
      <c r="B57" s="1" t="s">
        <v>13</v>
      </c>
      <c r="C57" s="4" t="s">
        <v>264</v>
      </c>
      <c r="D57" s="1" t="s">
        <v>265</v>
      </c>
      <c r="E57" s="1" t="s">
        <v>266</v>
      </c>
      <c r="F57" s="4" t="s">
        <v>17</v>
      </c>
      <c r="G57" s="1" t="s">
        <v>18</v>
      </c>
      <c r="H57" s="1" t="s">
        <v>19</v>
      </c>
      <c r="I57" s="1" t="s">
        <v>20</v>
      </c>
      <c r="J57" s="1" t="s">
        <v>267</v>
      </c>
      <c r="K57" s="1" t="s">
        <v>22</v>
      </c>
      <c r="L57" s="1" t="str">
        <f>HYPERLINK("https://files.afu.se/Downloads/Transcripts/0%20-%20Government/USA%20-%20NASA%20Kennedy/2022 04 27 - NASA's Kennedy Space Center - NASA SpaceX Crew-4 Astronauts Arrive at Launch Pad 39A_DviYmK1kSSs - transcript (automated).pdf","Transcript Link")</f>
        <v>Transcript Link</v>
      </c>
      <c r="M57" s="2" t="str">
        <f>HYPERLINK("https://files.afu.se/Downloads/Transcripts/0%20-%20Government/USA%20-%20NASA%20Kennedy/2022 04 27 - NASA's Kennedy Space Center - NASA SpaceX Crew-4 Astronauts Arrive at Launch Pad 39A_DviYmK1kSSs - transcript (automated).pdf","Transcript Link")</f>
        <v>Transcript Link</v>
      </c>
    </row>
    <row r="58" ht="180" spans="1:13">
      <c r="A58" s="1" t="s">
        <v>243</v>
      </c>
      <c r="B58" s="1" t="s">
        <v>13</v>
      </c>
      <c r="C58" s="4" t="s">
        <v>268</v>
      </c>
      <c r="D58" s="1" t="s">
        <v>269</v>
      </c>
      <c r="E58" s="1" t="s">
        <v>270</v>
      </c>
      <c r="F58" s="4" t="s">
        <v>17</v>
      </c>
      <c r="G58" s="1" t="s">
        <v>18</v>
      </c>
      <c r="H58" s="1" t="s">
        <v>19</v>
      </c>
      <c r="I58" s="1" t="s">
        <v>20</v>
      </c>
      <c r="J58" s="1" t="s">
        <v>271</v>
      </c>
      <c r="K58" s="1" t="s">
        <v>22</v>
      </c>
      <c r="L58" s="1" t="str">
        <f>HYPERLINK("https://files.afu.se/Downloads/Transcripts/0%20-%20Government/USA%20-%20NASA%20Kennedy/2022 04 27 - NASA's Kennedy Space Center - NASA SpaceX Crew-4 Astronauts Walk Out for Trip to Launch Pad 39A_XxU880W9ioo - transcript (automated).pdf","Transcript Link")</f>
        <v>Transcript Link</v>
      </c>
      <c r="M58" s="2" t="str">
        <f>HYPERLINK("https://files.afu.se/Downloads/Transcripts/0%20-%20Government/USA%20-%20NASA%20Kennedy/2022 04 27 - NASA's Kennedy Space Center - NASA SpaceX Crew-4 Astronauts Walk Out for Trip to Launch Pad 39A_XxU880W9ioo - transcript (automated).pdf","Transcript Link")</f>
        <v>Transcript Link</v>
      </c>
    </row>
    <row r="59" ht="180" spans="1:13">
      <c r="A59" s="1" t="s">
        <v>243</v>
      </c>
      <c r="B59" s="1" t="s">
        <v>13</v>
      </c>
      <c r="C59" s="4" t="s">
        <v>272</v>
      </c>
      <c r="D59" s="1" t="s">
        <v>273</v>
      </c>
      <c r="E59" s="1" t="s">
        <v>274</v>
      </c>
      <c r="F59" s="4" t="s">
        <v>17</v>
      </c>
      <c r="G59" s="1" t="s">
        <v>18</v>
      </c>
      <c r="H59" s="1" t="s">
        <v>19</v>
      </c>
      <c r="I59" s="1" t="s">
        <v>20</v>
      </c>
      <c r="J59" s="1" t="s">
        <v>275</v>
      </c>
      <c r="K59" s="1" t="s">
        <v>22</v>
      </c>
      <c r="L59" s="1" t="str">
        <f>HYPERLINK("https://files.afu.se/Downloads/Transcripts/0%20-%20Government/USA%20-%20NASA%20Kennedy/2022 04 27 - NASA's Kennedy Space Center - NASA SpaceXCrew-4 Suit up_i5GmYlTCTog - transcript (automated).pdf","Transcript Link")</f>
        <v>Transcript Link</v>
      </c>
      <c r="M59" s="2" t="str">
        <f>HYPERLINK("https://files.afu.se/Downloads/Transcripts/0%20-%20Government/USA%20-%20NASA%20Kennedy/2022 04 27 - NASA's Kennedy Space Center - NASA SpaceXCrew-4 Suit up_i5GmYlTCTog - transcript (automated).pdf","Transcript Link")</f>
        <v>Transcript Link</v>
      </c>
    </row>
    <row r="60" ht="180" spans="1:13">
      <c r="A60" s="1" t="s">
        <v>243</v>
      </c>
      <c r="B60" s="1" t="s">
        <v>13</v>
      </c>
      <c r="C60" s="4" t="s">
        <v>276</v>
      </c>
      <c r="D60" s="1" t="s">
        <v>277</v>
      </c>
      <c r="E60" s="1" t="s">
        <v>278</v>
      </c>
      <c r="F60" s="4" t="s">
        <v>17</v>
      </c>
      <c r="G60" s="1" t="s">
        <v>18</v>
      </c>
      <c r="H60" s="1" t="s">
        <v>19</v>
      </c>
      <c r="I60" s="1" t="s">
        <v>20</v>
      </c>
      <c r="J60" s="1" t="s">
        <v>279</v>
      </c>
      <c r="K60" s="1" t="s">
        <v>22</v>
      </c>
      <c r="L60" s="1" t="str">
        <f>HYPERLINK("https://files.afu.se/Downloads/Transcripts/0%20-%20Government/USA%20-%20NASA%20Kennedy/2022 04 27 - NASA's Kennedy Space Center - NASA's SpaceX Crew-4 Broadcast Begins_NDZwhtDBICs - transcript (automated).pdf","Transcript Link")</f>
        <v>Transcript Link</v>
      </c>
      <c r="M60" s="2" t="str">
        <f>HYPERLINK("https://files.afu.se/Downloads/Transcripts/0%20-%20Government/USA%20-%20NASA%20Kennedy/2022 04 27 - NASA's Kennedy Space Center - NASA's SpaceX Crew-4 Broadcast Begins_NDZwhtDBICs - transcript (automated).pdf","Transcript Link")</f>
        <v>Transcript Link</v>
      </c>
    </row>
    <row r="61" ht="240" spans="1:13">
      <c r="A61" s="1" t="s">
        <v>280</v>
      </c>
      <c r="B61" s="1" t="s">
        <v>13</v>
      </c>
      <c r="C61" s="4" t="s">
        <v>281</v>
      </c>
      <c r="D61" s="1" t="s">
        <v>282</v>
      </c>
      <c r="E61" s="1" t="s">
        <v>283</v>
      </c>
      <c r="F61" s="4" t="s">
        <v>17</v>
      </c>
      <c r="G61" s="1" t="s">
        <v>18</v>
      </c>
      <c r="H61" s="1" t="s">
        <v>19</v>
      </c>
      <c r="I61" s="1" t="s">
        <v>20</v>
      </c>
      <c r="J61" s="1" t="s">
        <v>284</v>
      </c>
      <c r="K61" s="1" t="s">
        <v>22</v>
      </c>
      <c r="L61" s="1">
        <v>0</v>
      </c>
      <c r="M61" s="2">
        <v>0</v>
      </c>
    </row>
    <row r="62" ht="285" spans="1:13">
      <c r="A62" s="1" t="s">
        <v>285</v>
      </c>
      <c r="B62" s="1" t="s">
        <v>13</v>
      </c>
      <c r="C62" s="4" t="s">
        <v>286</v>
      </c>
      <c r="D62" s="1" t="s">
        <v>287</v>
      </c>
      <c r="E62" s="1" t="s">
        <v>288</v>
      </c>
      <c r="F62" s="4" t="s">
        <v>17</v>
      </c>
      <c r="G62" s="1" t="s">
        <v>18</v>
      </c>
      <c r="H62" s="1" t="s">
        <v>19</v>
      </c>
      <c r="I62" s="1" t="s">
        <v>20</v>
      </c>
      <c r="J62" s="1" t="s">
        <v>289</v>
      </c>
      <c r="K62" s="1" t="s">
        <v>22</v>
      </c>
      <c r="L62" s="1" t="str">
        <f>HYPERLINK("https://files.afu.se/Downloads/Transcripts/0%20-%20Government/USA%20-%20NASA%20Kennedy/2022 03 24 - NASA's Kennedy Space Center - Dream Chaser Ground Support Equipment Testing_n9c0kLCFqok - transcript (automated).pdf","Transcript Link")</f>
        <v>Transcript Link</v>
      </c>
      <c r="M62" s="2" t="str">
        <f>HYPERLINK("https://files.afu.se/Downloads/Transcripts/0%20-%20Government/USA%20-%20NASA%20Kennedy/2022 03 24 - NASA's Kennedy Space Center - Dream Chaser Ground Support Equipment Testing_n9c0kLCFqok - transcript (automated).pdf","Transcript Link")</f>
        <v>Transcript Link</v>
      </c>
    </row>
    <row r="63" ht="180" spans="1:13">
      <c r="A63" s="1" t="s">
        <v>290</v>
      </c>
      <c r="B63" s="1" t="s">
        <v>13</v>
      </c>
      <c r="C63" s="4" t="s">
        <v>291</v>
      </c>
      <c r="D63" s="1" t="s">
        <v>292</v>
      </c>
      <c r="E63" s="1" t="s">
        <v>293</v>
      </c>
      <c r="F63" s="4" t="s">
        <v>17</v>
      </c>
      <c r="G63" s="1" t="s">
        <v>18</v>
      </c>
      <c r="H63" s="1" t="s">
        <v>19</v>
      </c>
      <c r="I63" s="1" t="s">
        <v>20</v>
      </c>
      <c r="J63" s="1" t="s">
        <v>294</v>
      </c>
      <c r="K63" s="1" t="s">
        <v>22</v>
      </c>
      <c r="L63" s="1" t="str">
        <f>HYPERLINK("https://files.afu.se/Downloads/Transcripts/0%20-%20Government/USA%20-%20NASA%20Kennedy/2022 03 02 - NASA's Kennedy Space Center - NOAA's GOES-T Spacecraft Separation_s-hpDoeHsJg - transcript (automated).pdf","Transcript Link")</f>
        <v>Transcript Link</v>
      </c>
      <c r="M63" s="2" t="str">
        <f>HYPERLINK("https://files.afu.se/Downloads/Transcripts/0%20-%20Government/USA%20-%20NASA%20Kennedy/2022 03 02 - NASA's Kennedy Space Center - NOAA's GOES-T Spacecraft Separation_s-hpDoeHsJg - transcript (automated).pdf","Transcript Link")</f>
        <v>Transcript Link</v>
      </c>
    </row>
    <row r="64" ht="180" spans="1:13">
      <c r="A64" s="1" t="s">
        <v>290</v>
      </c>
      <c r="B64" s="1" t="s">
        <v>13</v>
      </c>
      <c r="C64" s="4" t="s">
        <v>295</v>
      </c>
      <c r="D64" s="1" t="s">
        <v>296</v>
      </c>
      <c r="E64" s="1" t="s">
        <v>297</v>
      </c>
      <c r="F64" s="4" t="s">
        <v>17</v>
      </c>
      <c r="G64" s="1" t="s">
        <v>18</v>
      </c>
      <c r="H64" s="1" t="s">
        <v>19</v>
      </c>
      <c r="I64" s="1" t="s">
        <v>20</v>
      </c>
      <c r="J64" s="1" t="s">
        <v>298</v>
      </c>
      <c r="K64" s="1" t="s">
        <v>22</v>
      </c>
      <c r="L64" s="1" t="str">
        <f>HYPERLINK("https://files.afu.se/Downloads/Transcripts/0%20-%20Government/USA%20-%20NASA%20Kennedy/2022 03 02 - NASA's Kennedy Space Center - NOAA's GOES-T Satellite Launch_y_3zJaZOe1E - transcript (automated).pdf","Transcript Link")</f>
        <v>Transcript Link</v>
      </c>
      <c r="M64" s="2" t="str">
        <f>HYPERLINK("https://files.afu.se/Downloads/Transcripts/0%20-%20Government/USA%20-%20NASA%20Kennedy/2022 03 02 - NASA's Kennedy Space Center - NOAA's GOES-T Satellite Launch_y_3zJaZOe1E - transcript (automated).pdf","Transcript Link")</f>
        <v>Transcript Link</v>
      </c>
    </row>
    <row r="65" ht="180" spans="1:13">
      <c r="A65" s="1" t="s">
        <v>299</v>
      </c>
      <c r="B65" s="1" t="s">
        <v>13</v>
      </c>
      <c r="C65" s="4" t="s">
        <v>300</v>
      </c>
      <c r="D65" s="1" t="s">
        <v>301</v>
      </c>
      <c r="E65" s="1" t="s">
        <v>302</v>
      </c>
      <c r="F65" s="4" t="s">
        <v>17</v>
      </c>
      <c r="G65" s="1" t="s">
        <v>18</v>
      </c>
      <c r="H65" s="1" t="s">
        <v>19</v>
      </c>
      <c r="I65" s="1" t="s">
        <v>20</v>
      </c>
      <c r="J65" s="1" t="s">
        <v>303</v>
      </c>
      <c r="K65" s="1" t="s">
        <v>22</v>
      </c>
      <c r="L65" s="1" t="str">
        <f>HYPERLINK("https://files.afu.se/Downloads/Transcripts/0%20-%20Government/USA%20-%20NASA%20Kennedy/2022 03 01 - NASA's Kennedy Space Center - Interview with LSP's Alex Terseck_DUWvM46ld3Q - transcript (automated).pdf","Transcript Link")</f>
        <v>Transcript Link</v>
      </c>
      <c r="M65" s="2" t="str">
        <f>HYPERLINK("https://files.afu.se/Downloads/Transcripts/0%20-%20Government/USA%20-%20NASA%20Kennedy/2022 03 01 - NASA's Kennedy Space Center - Interview with LSP's Alex Terseck_DUWvM46ld3Q - transcript (automated).pdf","Transcript Link")</f>
        <v>Transcript Link</v>
      </c>
    </row>
    <row r="66" ht="180" spans="1:13">
      <c r="A66" s="1" t="s">
        <v>299</v>
      </c>
      <c r="B66" s="1" t="s">
        <v>13</v>
      </c>
      <c r="C66" s="4" t="s">
        <v>304</v>
      </c>
      <c r="D66" s="1" t="s">
        <v>305</v>
      </c>
      <c r="E66" s="1" t="s">
        <v>306</v>
      </c>
      <c r="F66" s="4" t="s">
        <v>17</v>
      </c>
      <c r="G66" s="1" t="s">
        <v>18</v>
      </c>
      <c r="H66" s="1" t="s">
        <v>19</v>
      </c>
      <c r="I66" s="1" t="s">
        <v>20</v>
      </c>
      <c r="J66" s="1" t="s">
        <v>307</v>
      </c>
      <c r="K66" s="1" t="s">
        <v>22</v>
      </c>
      <c r="L66" s="1" t="str">
        <f>HYPERLINK("https://files.afu.se/Downloads/Transcripts/0%20-%20Government/USA%20-%20NASA%20Kennedy/2022 03 01 - NASA's Kennedy Space Center - NOAA's GOES-T Satellite Launch Broadcast Open_Y2P2-fV2f0o - transcript (automated).pdf","Transcript Link")</f>
        <v>Transcript Link</v>
      </c>
      <c r="M66" s="2" t="str">
        <f>HYPERLINK("https://files.afu.se/Downloads/Transcripts/0%20-%20Government/USA%20-%20NASA%20Kennedy/2022 03 01 - NASA's Kennedy Space Center - NOAA's GOES-T Satellite Launch Broadcast Open_Y2P2-fV2f0o - transcript (automated).pdf","Transcript Link")</f>
        <v>Transcript Link</v>
      </c>
    </row>
    <row r="67" ht="180" spans="1:13">
      <c r="A67" s="1" t="s">
        <v>299</v>
      </c>
      <c r="B67" s="1" t="s">
        <v>13</v>
      </c>
      <c r="C67" s="4" t="s">
        <v>308</v>
      </c>
      <c r="D67" s="1" t="s">
        <v>309</v>
      </c>
      <c r="E67" s="1" t="s">
        <v>310</v>
      </c>
      <c r="F67" s="4" t="s">
        <v>17</v>
      </c>
      <c r="G67" s="1" t="s">
        <v>18</v>
      </c>
      <c r="H67" s="1" t="s">
        <v>19</v>
      </c>
      <c r="I67" s="1" t="s">
        <v>20</v>
      </c>
      <c r="J67" s="1" t="s">
        <v>311</v>
      </c>
      <c r="K67" s="1" t="s">
        <v>22</v>
      </c>
      <c r="L67" s="1" t="str">
        <f>HYPERLINK("https://files.afu.se/Downloads/Transcripts/0%20-%20Government/USA%20-%20NASA%20Kennedy/2022 03 01 - NASA's Kennedy Space Center - NOAA's GOES-T NASA Launch Manager Poll_vdL8a4r44kM - transcript (automated).pdf","Transcript Link")</f>
        <v>Transcript Link</v>
      </c>
      <c r="M67" s="2" t="str">
        <f>HYPERLINK("https://files.afu.se/Downloads/Transcripts/0%20-%20Government/USA%20-%20NASA%20Kennedy/2022 03 01 - NASA's Kennedy Space Center - NOAA's GOES-T NASA Launch Manager Poll_vdL8a4r44kM - transcript (automated).pdf","Transcript Link")</f>
        <v>Transcript Link</v>
      </c>
    </row>
    <row r="68" ht="180" spans="1:13">
      <c r="A68" s="1" t="s">
        <v>312</v>
      </c>
      <c r="B68" s="1" t="s">
        <v>13</v>
      </c>
      <c r="C68" s="4" t="s">
        <v>313</v>
      </c>
      <c r="D68" s="1" t="s">
        <v>314</v>
      </c>
      <c r="E68" s="1" t="s">
        <v>315</v>
      </c>
      <c r="F68" s="4" t="s">
        <v>17</v>
      </c>
      <c r="G68" s="1" t="s">
        <v>18</v>
      </c>
      <c r="H68" s="1" t="s">
        <v>19</v>
      </c>
      <c r="I68" s="1" t="s">
        <v>20</v>
      </c>
      <c r="J68" s="1" t="s">
        <v>316</v>
      </c>
      <c r="K68" s="1" t="s">
        <v>22</v>
      </c>
      <c r="L68" s="1" t="str">
        <f>HYPERLINK("https://files.afu.se/Downloads/Transcripts/0%20-%20Government/USA%20-%20NASA%20Kennedy/2022 02 25 - NASA's Kennedy Space Center - Watch as NASA stacks its Artemis Moon rocket at Kennedy Space Center_qNpAxzg_v9E - transcript (automated).pdf","Transcript Link")</f>
        <v>Transcript Link</v>
      </c>
      <c r="M68" s="2" t="str">
        <f>HYPERLINK("https://files.afu.se/Downloads/Transcripts/0%20-%20Government/USA%20-%20NASA%20Kennedy/2022 02 25 - NASA's Kennedy Space Center - Watch as NASA stacks its Artemis Moon rocket at Kennedy Space Center_qNpAxzg_v9E - transcript (automated).pdf","Transcript Link")</f>
        <v>Transcript Link</v>
      </c>
    </row>
    <row r="69" ht="180" spans="1:13">
      <c r="A69" s="1" t="s">
        <v>317</v>
      </c>
      <c r="B69" s="1" t="s">
        <v>13</v>
      </c>
      <c r="C69" s="4" t="s">
        <v>318</v>
      </c>
      <c r="D69" s="1" t="s">
        <v>319</v>
      </c>
      <c r="E69" s="1" t="s">
        <v>320</v>
      </c>
      <c r="F69" s="4" t="s">
        <v>17</v>
      </c>
      <c r="G69" s="1" t="s">
        <v>18</v>
      </c>
      <c r="H69" s="1" t="s">
        <v>19</v>
      </c>
      <c r="I69" s="1" t="s">
        <v>20</v>
      </c>
      <c r="J69" s="1" t="s">
        <v>321</v>
      </c>
      <c r="K69" s="1" t="s">
        <v>22</v>
      </c>
      <c r="L69" s="1" t="str">
        <f>HYPERLINK("https://files.afu.se/Downloads/Transcripts/0%20-%20Government/USA%20-%20NASA%20Kennedy/2022 01 20 - NASA's Kennedy Space Center - Commercial Crew Program  Embracing the Next Challenge_lrVVz1mPnYQ - transcript (automated).pdf","Transcript Link")</f>
        <v>Transcript Link</v>
      </c>
      <c r="M69" s="2" t="str">
        <f>HYPERLINK("https://files.afu.se/Downloads/Transcripts/0%20-%20Government/USA%20-%20NASA%20Kennedy/2022 01 20 - NASA's Kennedy Space Center - Commercial Crew Program  Embracing the Next Challenge_lrVVz1mPnYQ - transcript (automated).pdf","Transcript Link")</f>
        <v>Transcript Link</v>
      </c>
    </row>
    <row r="70" ht="180" spans="1:13">
      <c r="A70" s="1" t="s">
        <v>322</v>
      </c>
      <c r="B70" s="1" t="s">
        <v>13</v>
      </c>
      <c r="C70" s="4" t="s">
        <v>323</v>
      </c>
      <c r="D70" s="1" t="s">
        <v>324</v>
      </c>
      <c r="E70" s="1" t="s">
        <v>325</v>
      </c>
      <c r="F70" s="4" t="s">
        <v>17</v>
      </c>
      <c r="G70" s="1" t="s">
        <v>18</v>
      </c>
      <c r="H70" s="1" t="s">
        <v>19</v>
      </c>
      <c r="I70" s="1" t="s">
        <v>20</v>
      </c>
      <c r="J70" s="1" t="s">
        <v>326</v>
      </c>
      <c r="K70" s="1" t="s">
        <v>22</v>
      </c>
      <c r="L70" s="1" t="str">
        <f>HYPERLINK("https://files.afu.se/Downloads/Transcripts/0%20-%20Government/USA%20-%20NASA%20Kennedy/2022 01 14 - NASA's Kennedy Space Center - Artemis I RS-25 engines gimbaling inside Vehicle Assembly Building_E2b_zy0DFkg - transcript (automated).pdf","Transcript Link")</f>
        <v>Transcript Link</v>
      </c>
      <c r="M70" s="2" t="str">
        <f>HYPERLINK("https://files.afu.se/Downloads/Transcripts/0%20-%20Government/USA%20-%20NASA%20Kennedy/2022 01 14 - NASA's Kennedy Space Center - Artemis I RS-25 engines gimbaling inside Vehicle Assembly Building_E2b_zy0DFkg - transcript (automated).pdf","Transcript Link")</f>
        <v>Transcript Link</v>
      </c>
    </row>
    <row r="71" ht="180" spans="1:13">
      <c r="A71" s="1" t="s">
        <v>327</v>
      </c>
      <c r="B71" s="1" t="s">
        <v>13</v>
      </c>
      <c r="C71" s="4" t="s">
        <v>328</v>
      </c>
      <c r="D71" s="1" t="s">
        <v>329</v>
      </c>
      <c r="E71" s="1" t="s">
        <v>330</v>
      </c>
      <c r="F71" s="4" t="s">
        <v>17</v>
      </c>
      <c r="G71" s="1" t="s">
        <v>18</v>
      </c>
      <c r="H71" s="1" t="s">
        <v>19</v>
      </c>
      <c r="I71" s="1" t="s">
        <v>20</v>
      </c>
      <c r="J71" s="1" t="s">
        <v>331</v>
      </c>
      <c r="K71" s="1" t="s">
        <v>22</v>
      </c>
      <c r="L71" s="1" t="str">
        <f>HYPERLINK("https://files.afu.se/Downloads/Transcripts/0%20-%20Government/USA%20-%20NASA%20Kennedy/2022 01 13 - NASA's Kennedy Space Center - KSC at 60  Leading the Way From Mercury to Mars_qXFr4Rz8QV4 - transcript (automated).pdf","Transcript Link")</f>
        <v>Transcript Link</v>
      </c>
      <c r="M71" s="2" t="str">
        <f>HYPERLINK("https://files.afu.se/Downloads/Transcripts/0%20-%20Government/USA%20-%20NASA%20Kennedy/2022 01 13 - NASA's Kennedy Space Center - KSC at 60  Leading the Way From Mercury to Mars_qXFr4Rz8QV4 - transcript (automated).pdf","Transcript Link")</f>
        <v>Transcript Link</v>
      </c>
    </row>
    <row r="72" ht="180" spans="1:13">
      <c r="A72" s="1" t="s">
        <v>332</v>
      </c>
      <c r="B72" s="1" t="s">
        <v>13</v>
      </c>
      <c r="C72" s="4" t="s">
        <v>333</v>
      </c>
      <c r="D72" s="1" t="s">
        <v>334</v>
      </c>
      <c r="E72" s="1" t="s">
        <v>335</v>
      </c>
      <c r="F72" s="4" t="s">
        <v>17</v>
      </c>
      <c r="G72" s="1" t="s">
        <v>18</v>
      </c>
      <c r="H72" s="1" t="s">
        <v>19</v>
      </c>
      <c r="I72" s="1" t="s">
        <v>20</v>
      </c>
      <c r="J72" s="1" t="s">
        <v>336</v>
      </c>
      <c r="K72" s="1" t="s">
        <v>22</v>
      </c>
      <c r="L72" s="1" t="str">
        <f>HYPERLINK("https://files.afu.se/Downloads/Transcripts/0%20-%20Government/USA%20-%20NASA%20Kennedy/2021 12 27 - NASA's Kennedy Space Center - Kennedy Countdown for Dec. 27, 2021_A0pexQImxj0 - transcript (automated).pdf","Transcript Link")</f>
        <v>Transcript Link</v>
      </c>
      <c r="M72" s="2" t="str">
        <f>HYPERLINK("https://files.afu.se/Downloads/Transcripts/0%20-%20Government/USA%20-%20NASA%20Kennedy/2021 12 27 - NASA's Kennedy Space Center - Kennedy Countdown for Dec. 27, 2021_A0pexQImxj0 - transcript (automated).pdf","Transcript Link")</f>
        <v>Transcript Link</v>
      </c>
    </row>
    <row r="73" ht="180" spans="1:13">
      <c r="A73" s="1" t="s">
        <v>337</v>
      </c>
      <c r="B73" s="1" t="s">
        <v>13</v>
      </c>
      <c r="C73" s="4" t="s">
        <v>338</v>
      </c>
      <c r="D73" s="1" t="s">
        <v>339</v>
      </c>
      <c r="E73" s="1" t="s">
        <v>340</v>
      </c>
      <c r="F73" s="4" t="s">
        <v>17</v>
      </c>
      <c r="G73" s="1" t="s">
        <v>18</v>
      </c>
      <c r="H73" s="1" t="s">
        <v>19</v>
      </c>
      <c r="I73" s="1" t="s">
        <v>20</v>
      </c>
      <c r="J73" s="1" t="s">
        <v>341</v>
      </c>
      <c r="K73" s="1" t="s">
        <v>22</v>
      </c>
      <c r="L73" s="1" t="str">
        <f>HYPERLINK("https://files.afu.se/Downloads/Transcripts/0%20-%20Government/USA%20-%20NASA%20Kennedy/2021 12 21 - NASA's Kennedy Space Center - NASA's SpaceX 24th Commercial Resupply Services Mission  Spacecraft Separation_XCat2sUjy4s - transcript (automated).pdf","Transcript Link")</f>
        <v>Transcript Link</v>
      </c>
      <c r="M73" s="2" t="str">
        <f>HYPERLINK("https://files.afu.se/Downloads/Transcripts/0%20-%20Government/USA%20-%20NASA%20Kennedy/2021 12 21 - NASA's Kennedy Space Center - NASA's SpaceX 24th Commercial Resupply Services Mission  Spacecraft Separation_XCat2sUjy4s - transcript (automated).pdf","Transcript Link")</f>
        <v>Transcript Link</v>
      </c>
    </row>
    <row r="74" ht="180" spans="1:13">
      <c r="A74" s="1" t="s">
        <v>337</v>
      </c>
      <c r="B74" s="1" t="s">
        <v>13</v>
      </c>
      <c r="C74" s="4" t="s">
        <v>342</v>
      </c>
      <c r="D74" s="1" t="s">
        <v>343</v>
      </c>
      <c r="E74" s="1" t="s">
        <v>344</v>
      </c>
      <c r="F74" s="4" t="s">
        <v>17</v>
      </c>
      <c r="G74" s="1" t="s">
        <v>18</v>
      </c>
      <c r="H74" s="1" t="s">
        <v>19</v>
      </c>
      <c r="I74" s="1" t="s">
        <v>20</v>
      </c>
      <c r="J74" s="1" t="s">
        <v>345</v>
      </c>
      <c r="K74" s="1" t="s">
        <v>22</v>
      </c>
      <c r="L74" s="1" t="str">
        <f>HYPERLINK("https://files.afu.se/Downloads/Transcripts/0%20-%20Government/USA%20-%20NASA%20Kennedy/2021 12 21 - NASA's Kennedy Space Center - NASA's SpaceX 24th Commercial Resupply Services Mission  Liftoff_66ToNkguhtA - transcript (automated).pdf","Transcript Link")</f>
        <v>Transcript Link</v>
      </c>
      <c r="M74" s="2" t="str">
        <f>HYPERLINK("https://files.afu.se/Downloads/Transcripts/0%20-%20Government/USA%20-%20NASA%20Kennedy/2021 12 21 - NASA's Kennedy Space Center - NASA's SpaceX 24th Commercial Resupply Services Mission  Liftoff_66ToNkguhtA - transcript (automated).pdf","Transcript Link")</f>
        <v>Transcript Link</v>
      </c>
    </row>
    <row r="75" ht="180" spans="1:13">
      <c r="A75" s="1" t="s">
        <v>337</v>
      </c>
      <c r="B75" s="1" t="s">
        <v>13</v>
      </c>
      <c r="C75" s="4" t="s">
        <v>346</v>
      </c>
      <c r="D75" s="1" t="s">
        <v>347</v>
      </c>
      <c r="E75" s="1" t="s">
        <v>348</v>
      </c>
      <c r="F75" s="4" t="s">
        <v>17</v>
      </c>
      <c r="G75" s="1" t="s">
        <v>18</v>
      </c>
      <c r="H75" s="1" t="s">
        <v>19</v>
      </c>
      <c r="I75" s="1" t="s">
        <v>20</v>
      </c>
      <c r="J75" s="1" t="s">
        <v>349</v>
      </c>
      <c r="K75" s="1" t="s">
        <v>22</v>
      </c>
      <c r="L75" s="1" t="str">
        <f>HYPERLINK("https://files.afu.se/Downloads/Transcripts/0%20-%20Government/USA%20-%20NASA%20Kennedy/2021 12 21 - NASA's Kennedy Space Center - NASA's SpaceX 24th Commercial Resupply Services Mission  Broadcast Begins_Cir0g--CdTc - transcript (automated).pdf","Transcript Link")</f>
        <v>Transcript Link</v>
      </c>
      <c r="M75" s="2" t="str">
        <f>HYPERLINK("https://files.afu.se/Downloads/Transcripts/0%20-%20Government/USA%20-%20NASA%20Kennedy/2021 12 21 - NASA's Kennedy Space Center - NASA's SpaceX 24th Commercial Resupply Services Mission  Broadcast Begins_Cir0g--CdTc - transcript (automated).pdf","Transcript Link")</f>
        <v>Transcript Link</v>
      </c>
    </row>
    <row r="76" ht="180" spans="1:13">
      <c r="A76" s="1" t="s">
        <v>350</v>
      </c>
      <c r="B76" s="1" t="s">
        <v>13</v>
      </c>
      <c r="C76" s="4" t="s">
        <v>351</v>
      </c>
      <c r="D76" s="1" t="s">
        <v>352</v>
      </c>
      <c r="E76" s="1" t="s">
        <v>353</v>
      </c>
      <c r="F76" s="4" t="s">
        <v>17</v>
      </c>
      <c r="G76" s="1" t="s">
        <v>18</v>
      </c>
      <c r="H76" s="1" t="s">
        <v>19</v>
      </c>
      <c r="I76" s="1" t="s">
        <v>20</v>
      </c>
      <c r="J76" s="1" t="s">
        <v>354</v>
      </c>
      <c r="K76" s="1" t="s">
        <v>22</v>
      </c>
      <c r="L76" s="1" t="str">
        <f>HYPERLINK("https://files.afu.se/Downloads/Transcripts/0%20-%20Government/USA%20-%20NASA%20Kennedy/2021 12 17 - NASA's Kennedy Space Center - Kennedy Countdown for Dec. 17, 2021_phGTKOEEtCg - transcript (automated).pdf","Transcript Link")</f>
        <v>Transcript Link</v>
      </c>
      <c r="M76" s="2" t="str">
        <f>HYPERLINK("https://files.afu.se/Downloads/Transcripts/0%20-%20Government/USA%20-%20NASA%20Kennedy/2021 12 17 - NASA's Kennedy Space Center - Kennedy Countdown for Dec. 17, 2021_phGTKOEEtCg - transcript (automated).pdf","Transcript Link")</f>
        <v>Transcript Link</v>
      </c>
    </row>
    <row r="77" ht="300" spans="1:13">
      <c r="A77" s="1" t="s">
        <v>355</v>
      </c>
      <c r="B77" s="1" t="s">
        <v>13</v>
      </c>
      <c r="C77" s="4" t="s">
        <v>356</v>
      </c>
      <c r="D77" s="1" t="s">
        <v>357</v>
      </c>
      <c r="E77" s="1" t="s">
        <v>358</v>
      </c>
      <c r="F77" s="4" t="s">
        <v>17</v>
      </c>
      <c r="G77" s="1" t="s">
        <v>18</v>
      </c>
      <c r="H77" s="1" t="s">
        <v>19</v>
      </c>
      <c r="I77" s="1" t="s">
        <v>20</v>
      </c>
      <c r="J77" s="1" t="s">
        <v>359</v>
      </c>
      <c r="K77" s="1" t="s">
        <v>22</v>
      </c>
      <c r="L77" s="1" t="str">
        <f>HYPERLINK("https://files.afu.se/Downloads/Transcripts/0%20-%20Government/USA%20-%20NASA%20Kennedy/2021 12 10 - NASA's Kennedy Space Center - Kennedy Countdown for Dec. 10, 2021_2plQe69M-MI - transcript (automated).pdf","Transcript Link")</f>
        <v>Transcript Link</v>
      </c>
      <c r="M77" s="2" t="str">
        <f>HYPERLINK("https://files.afu.se/Downloads/Transcripts/0%20-%20Government/USA%20-%20NASA%20Kennedy/2021 12 10 - NASA's Kennedy Space Center - Kennedy Countdown for Dec. 10, 2021_2plQe69M-MI - transcript (automated).pdf","Transcript Link")</f>
        <v>Transcript Link</v>
      </c>
    </row>
    <row r="78" ht="180" spans="1:13">
      <c r="A78" s="1" t="s">
        <v>360</v>
      </c>
      <c r="B78" s="1" t="s">
        <v>13</v>
      </c>
      <c r="C78" s="4" t="s">
        <v>361</v>
      </c>
      <c r="D78" s="1" t="s">
        <v>362</v>
      </c>
      <c r="E78" s="1" t="s">
        <v>363</v>
      </c>
      <c r="F78" s="4" t="s">
        <v>17</v>
      </c>
      <c r="G78" s="1" t="s">
        <v>18</v>
      </c>
      <c r="H78" s="1" t="s">
        <v>19</v>
      </c>
      <c r="I78" s="1" t="s">
        <v>20</v>
      </c>
      <c r="J78" s="1" t="s">
        <v>364</v>
      </c>
      <c r="K78" s="1" t="s">
        <v>22</v>
      </c>
      <c r="L78" s="1" t="str">
        <f>HYPERLINK("https://files.afu.se/Downloads/Transcripts/0%20-%20Government/USA%20-%20NASA%20Kennedy/2021 12 09 - NASA's Kennedy Space Center - Imaging X-ray Polarimetry Explorer (IXPE) Spacecraft Separation_YYdnp-fXa-Q - transcript (automated).pdf","Transcript Link")</f>
        <v>Transcript Link</v>
      </c>
      <c r="M78" s="2" t="str">
        <f>HYPERLINK("https://files.afu.se/Downloads/Transcripts/0%20-%20Government/USA%20-%20NASA%20Kennedy/2021 12 09 - NASA's Kennedy Space Center - Imaging X-ray Polarimetry Explorer (IXPE) Spacecraft Separation_YYdnp-fXa-Q - transcript (automated).pdf","Transcript Link")</f>
        <v>Transcript Link</v>
      </c>
    </row>
    <row r="79" ht="180" spans="1:13">
      <c r="A79" s="1" t="s">
        <v>360</v>
      </c>
      <c r="B79" s="1" t="s">
        <v>13</v>
      </c>
      <c r="C79" s="4" t="s">
        <v>365</v>
      </c>
      <c r="D79" s="1" t="s">
        <v>366</v>
      </c>
      <c r="E79" s="1" t="s">
        <v>367</v>
      </c>
      <c r="F79" s="4" t="s">
        <v>17</v>
      </c>
      <c r="G79" s="1" t="s">
        <v>18</v>
      </c>
      <c r="H79" s="1" t="s">
        <v>19</v>
      </c>
      <c r="I79" s="1" t="s">
        <v>20</v>
      </c>
      <c r="J79" s="1" t="s">
        <v>368</v>
      </c>
      <c r="K79" s="1" t="s">
        <v>22</v>
      </c>
      <c r="L79" s="1" t="str">
        <f>HYPERLINK("https://files.afu.se/Downloads/Transcripts/0%20-%20Government/USA%20-%20NASA%20Kennedy/2021 12 09 - NASA's Kennedy Space Center - NASA's Imaging X-ray Polarimetry Explorer (IXPE) Fairing Separation_4GNHdLTAkLU - transcript (automated).pdf","Transcript Link")</f>
        <v>Transcript Link</v>
      </c>
      <c r="M79" s="2" t="str">
        <f>HYPERLINK("https://files.afu.se/Downloads/Transcripts/0%20-%20Government/USA%20-%20NASA%20Kennedy/2021 12 09 - NASA's Kennedy Space Center - NASA's Imaging X-ray Polarimetry Explorer (IXPE) Fairing Separation_4GNHdLTAkLU - transcript (automated).pdf","Transcript Link")</f>
        <v>Transcript Link</v>
      </c>
    </row>
    <row r="80" ht="180" spans="1:13">
      <c r="A80" s="1" t="s">
        <v>360</v>
      </c>
      <c r="B80" s="1" t="s">
        <v>13</v>
      </c>
      <c r="C80" s="4" t="s">
        <v>369</v>
      </c>
      <c r="D80" s="1" t="s">
        <v>370</v>
      </c>
      <c r="E80" s="1" t="s">
        <v>371</v>
      </c>
      <c r="F80" s="4" t="s">
        <v>17</v>
      </c>
      <c r="G80" s="1" t="s">
        <v>18</v>
      </c>
      <c r="H80" s="1" t="s">
        <v>19</v>
      </c>
      <c r="I80" s="1" t="s">
        <v>20</v>
      </c>
      <c r="J80" s="1" t="s">
        <v>372</v>
      </c>
      <c r="K80" s="1" t="s">
        <v>22</v>
      </c>
      <c r="L80" s="1" t="str">
        <f>HYPERLINK("https://files.afu.se/Downloads/Transcripts/0%20-%20Government/USA%20-%20NASA%20Kennedy/2021 12 09 - NASA's Kennedy Space Center - Imaging X-ray Polarimetry Explorer (IXPE) Launch_CRW7eQ44t7U - transcript (automated).pdf","Transcript Link")</f>
        <v>Transcript Link</v>
      </c>
      <c r="M80" s="2" t="str">
        <f>HYPERLINK("https://files.afu.se/Downloads/Transcripts/0%20-%20Government/USA%20-%20NASA%20Kennedy/2021 12 09 - NASA's Kennedy Space Center - Imaging X-ray Polarimetry Explorer (IXPE) Launch_CRW7eQ44t7U - transcript (automated).pdf","Transcript Link")</f>
        <v>Transcript Link</v>
      </c>
    </row>
    <row r="81" ht="180" spans="1:13">
      <c r="A81" s="1" t="s">
        <v>360</v>
      </c>
      <c r="B81" s="1" t="s">
        <v>13</v>
      </c>
      <c r="C81" s="4" t="s">
        <v>373</v>
      </c>
      <c r="D81" s="1" t="s">
        <v>374</v>
      </c>
      <c r="E81" s="1" t="s">
        <v>375</v>
      </c>
      <c r="F81" s="4" t="s">
        <v>17</v>
      </c>
      <c r="G81" s="1" t="s">
        <v>18</v>
      </c>
      <c r="H81" s="1" t="s">
        <v>19</v>
      </c>
      <c r="I81" s="1" t="s">
        <v>20</v>
      </c>
      <c r="J81" s="1" t="s">
        <v>376</v>
      </c>
      <c r="K81" s="1" t="s">
        <v>22</v>
      </c>
      <c r="L81" s="1" t="str">
        <f>HYPERLINK("https://files.afu.se/Downloads/Transcripts/0%20-%20Government/USA%20-%20NASA%20Kennedy/2021 12 09 - NASA's Kennedy Space Center - Imaging X-ray Polarimetry Explorer (IXPE) Broadcast Begins_JD5jMpcBT10 - transcript (automated).pdf","Transcript Link")</f>
        <v>Transcript Link</v>
      </c>
      <c r="M81" s="2" t="str">
        <f>HYPERLINK("https://files.afu.se/Downloads/Transcripts/0%20-%20Government/USA%20-%20NASA%20Kennedy/2021 12 09 - NASA's Kennedy Space Center - Imaging X-ray Polarimetry Explorer (IXPE) Broadcast Begins_JD5jMpcBT10 - transcript (automated).pdf","Transcript Link")</f>
        <v>Transcript Link</v>
      </c>
    </row>
    <row r="82" ht="180" spans="1:13">
      <c r="A82" s="1" t="s">
        <v>377</v>
      </c>
      <c r="B82" s="1" t="s">
        <v>13</v>
      </c>
      <c r="C82" s="4" t="s">
        <v>378</v>
      </c>
      <c r="D82" s="1" t="s">
        <v>379</v>
      </c>
      <c r="E82" s="1" t="s">
        <v>380</v>
      </c>
      <c r="F82" s="4" t="s">
        <v>17</v>
      </c>
      <c r="G82" s="1" t="s">
        <v>18</v>
      </c>
      <c r="H82" s="1" t="s">
        <v>19</v>
      </c>
      <c r="I82" s="1" t="s">
        <v>20</v>
      </c>
      <c r="J82" s="1" t="s">
        <v>381</v>
      </c>
      <c r="K82" s="1" t="s">
        <v>22</v>
      </c>
      <c r="L82" s="1" t="str">
        <f>HYPERLINK("https://files.afu.se/Downloads/Transcripts/0%20-%20Government/USA%20-%20NASA%20Kennedy/2021 12 08 - NASA's Kennedy Space Center - NASA's Laser Communications Relay Demonstration (LCRD) Launch_FHpq9vKJQFU - transcript (automated).pdf","Transcript Link")</f>
        <v>Transcript Link</v>
      </c>
      <c r="M82" s="2" t="str">
        <f>HYPERLINK("https://files.afu.se/Downloads/Transcripts/0%20-%20Government/USA%20-%20NASA%20Kennedy/2021 12 08 - NASA's Kennedy Space Center - NASA's Laser Communications Relay Demonstration (LCRD) Launch_FHpq9vKJQFU - transcript (automated).pdf","Transcript Link")</f>
        <v>Transcript Link</v>
      </c>
    </row>
    <row r="83" ht="180" spans="1:13">
      <c r="A83" s="1" t="s">
        <v>377</v>
      </c>
      <c r="B83" s="1" t="s">
        <v>13</v>
      </c>
      <c r="C83" s="4" t="s">
        <v>382</v>
      </c>
      <c r="D83" s="1" t="s">
        <v>383</v>
      </c>
      <c r="E83" s="1" t="s">
        <v>384</v>
      </c>
      <c r="F83" s="4" t="s">
        <v>17</v>
      </c>
      <c r="G83" s="1" t="s">
        <v>18</v>
      </c>
      <c r="H83" s="1" t="s">
        <v>19</v>
      </c>
      <c r="I83" s="1" t="s">
        <v>20</v>
      </c>
      <c r="J83" s="1" t="s">
        <v>385</v>
      </c>
      <c r="K83" s="1" t="s">
        <v>22</v>
      </c>
      <c r="L83" s="1" t="str">
        <f>HYPERLINK("https://files.afu.se/Downloads/Transcripts/0%20-%20Government/USA%20-%20NASA%20Kennedy/2021 12 08 - NASA's Kennedy Space Center - NASA's Laser Communications Relay Demonstration (LCRD) Broadcast Begins_kALGpL1uFHk - transcript (automated).pdf","Transcript Link")</f>
        <v>Transcript Link</v>
      </c>
      <c r="M83" s="2" t="str">
        <f>HYPERLINK("https://files.afu.se/Downloads/Transcripts/0%20-%20Government/USA%20-%20NASA%20Kennedy/2021 12 08 - NASA's Kennedy Space Center - NASA's Laser Communications Relay Demonstration (LCRD) Broadcast Begins_kALGpL1uFHk - transcript (automated).pdf","Transcript Link")</f>
        <v>Transcript Link</v>
      </c>
    </row>
    <row r="84" ht="405" spans="1:13">
      <c r="A84" s="1" t="s">
        <v>386</v>
      </c>
      <c r="B84" s="1" t="s">
        <v>13</v>
      </c>
      <c r="C84" s="4" t="s">
        <v>387</v>
      </c>
      <c r="D84" s="1" t="s">
        <v>388</v>
      </c>
      <c r="E84" s="1" t="s">
        <v>389</v>
      </c>
      <c r="F84" s="4" t="s">
        <v>17</v>
      </c>
      <c r="G84" s="1" t="s">
        <v>18</v>
      </c>
      <c r="H84" s="1" t="s">
        <v>19</v>
      </c>
      <c r="I84" s="1" t="s">
        <v>20</v>
      </c>
      <c r="J84" s="1" t="s">
        <v>390</v>
      </c>
      <c r="K84" s="1" t="s">
        <v>22</v>
      </c>
      <c r="L84" s="1" t="str">
        <f>HYPERLINK("https://files.afu.se/Downloads/Transcripts/0%20-%20Government/USA%20-%20NASA%20Kennedy/2021 12 07 - NASA's Kennedy Space Center - Plant Research at the Extremes_vspLSxP7hmY - transcript (automated).pdf","Transcript Link")</f>
        <v>Transcript Link</v>
      </c>
      <c r="M84" s="2" t="str">
        <f>HYPERLINK("https://files.afu.se/Downloads/Transcripts/0%20-%20Government/USA%20-%20NASA%20Kennedy/2021 12 07 - NASA's Kennedy Space Center - Plant Research at the Extremes_vspLSxP7hmY - transcript (automated).pdf","Transcript Link")</f>
        <v>Transcript Link</v>
      </c>
    </row>
    <row r="85" ht="195" spans="1:13">
      <c r="A85" s="1" t="s">
        <v>386</v>
      </c>
      <c r="B85" s="1" t="s">
        <v>13</v>
      </c>
      <c r="C85" s="4" t="s">
        <v>391</v>
      </c>
      <c r="D85" s="1" t="s">
        <v>392</v>
      </c>
      <c r="E85" s="1" t="s">
        <v>393</v>
      </c>
      <c r="F85" s="4" t="s">
        <v>17</v>
      </c>
      <c r="G85" s="1" t="s">
        <v>18</v>
      </c>
      <c r="H85" s="1" t="s">
        <v>19</v>
      </c>
      <c r="I85" s="1" t="s">
        <v>20</v>
      </c>
      <c r="J85" s="1" t="s">
        <v>394</v>
      </c>
      <c r="K85" s="1" t="s">
        <v>22</v>
      </c>
      <c r="L85" s="1" t="str">
        <f>HYPERLINK("https://files.afu.se/Downloads/Transcripts/0%20-%20Government/USA%20-%20NASA%20Kennedy/2021 12 07 - NASA's Kennedy Space Center - Indian River Lagoon Health Initiative Plan_rcDTlEyb9kA - transcript (automated).pdf","Transcript Link")</f>
        <v>Transcript Link</v>
      </c>
      <c r="M85" s="2" t="str">
        <f>HYPERLINK("https://files.afu.se/Downloads/Transcripts/0%20-%20Government/USA%20-%20NASA%20Kennedy/2021 12 07 - NASA's Kennedy Space Center - Indian River Lagoon Health Initiative Plan_rcDTlEyb9kA - transcript (automated).pdf","Transcript Link")</f>
        <v>Transcript Link</v>
      </c>
    </row>
    <row r="86" ht="195" spans="1:13">
      <c r="A86" s="1" t="s">
        <v>395</v>
      </c>
      <c r="B86" s="1" t="s">
        <v>13</v>
      </c>
      <c r="C86" s="4" t="s">
        <v>396</v>
      </c>
      <c r="D86" s="1" t="s">
        <v>397</v>
      </c>
      <c r="E86" s="1" t="s">
        <v>398</v>
      </c>
      <c r="F86" s="4" t="s">
        <v>17</v>
      </c>
      <c r="G86" s="1" t="s">
        <v>18</v>
      </c>
      <c r="H86" s="1" t="s">
        <v>19</v>
      </c>
      <c r="I86" s="1" t="s">
        <v>20</v>
      </c>
      <c r="J86" s="1" t="s">
        <v>399</v>
      </c>
      <c r="K86" s="1" t="s">
        <v>22</v>
      </c>
      <c r="L86" s="1" t="str">
        <f>HYPERLINK("https://files.afu.se/Downloads/Transcripts/0%20-%20Government/USA%20-%20NASA%20Kennedy/2021 12 03 - NASA's Kennedy Space Center - Kennedy Countdown for Dec. 3, 2021_rZiQgf3oF9A - transcript (automated).pdf","Transcript Link")</f>
        <v>Transcript Link</v>
      </c>
      <c r="M86" s="2" t="str">
        <f>HYPERLINK("https://files.afu.se/Downloads/Transcripts/0%20-%20Government/USA%20-%20NASA%20Kennedy/2021 12 03 - NASA's Kennedy Space Center - Kennedy Countdown for Dec. 3, 2021_rZiQgf3oF9A - transcript (automated).pdf","Transcript Link")</f>
        <v>Transcript Link</v>
      </c>
    </row>
    <row r="87" ht="180" spans="1:13">
      <c r="A87" s="1" t="s">
        <v>400</v>
      </c>
      <c r="B87" s="1" t="s">
        <v>13</v>
      </c>
      <c r="C87" s="4" t="s">
        <v>401</v>
      </c>
      <c r="D87" s="1" t="s">
        <v>402</v>
      </c>
      <c r="E87" s="1" t="s">
        <v>403</v>
      </c>
      <c r="F87" s="4" t="s">
        <v>17</v>
      </c>
      <c r="G87" s="1" t="s">
        <v>18</v>
      </c>
      <c r="H87" s="1" t="s">
        <v>19</v>
      </c>
      <c r="I87" s="1" t="s">
        <v>20</v>
      </c>
      <c r="J87" s="1" t="s">
        <v>404</v>
      </c>
      <c r="K87" s="1" t="s">
        <v>22</v>
      </c>
      <c r="L87" s="1" t="str">
        <f>HYPERLINK("https://files.afu.se/Downloads/Transcripts/0%20-%20Government/USA%20-%20NASA%20Kennedy/2021 11 29 - NASA's Kennedy Space Center - Kennedy Countdown for Nov. 29, 2021_M1AfFVi5iOk - transcript (automated).pdf","Transcript Link")</f>
        <v>Transcript Link</v>
      </c>
      <c r="M87" s="2" t="str">
        <f>HYPERLINK("https://files.afu.se/Downloads/Transcripts/0%20-%20Government/USA%20-%20NASA%20Kennedy/2021 11 29 - NASA's Kennedy Space Center - Kennedy Countdown for Nov. 29, 2021_M1AfFVi5iOk - transcript (automated).pdf","Transcript Link")</f>
        <v>Transcript Link</v>
      </c>
    </row>
    <row r="88" ht="180" spans="1:13">
      <c r="A88" s="1" t="s">
        <v>405</v>
      </c>
      <c r="B88" s="1" t="s">
        <v>13</v>
      </c>
      <c r="C88" s="4" t="s">
        <v>406</v>
      </c>
      <c r="D88" s="1" t="s">
        <v>407</v>
      </c>
      <c r="E88" s="1" t="s">
        <v>408</v>
      </c>
      <c r="F88" s="4" t="s">
        <v>17</v>
      </c>
      <c r="G88" s="1" t="s">
        <v>18</v>
      </c>
      <c r="H88" s="1" t="s">
        <v>19</v>
      </c>
      <c r="I88" s="1" t="s">
        <v>20</v>
      </c>
      <c r="J88" s="1" t="s">
        <v>409</v>
      </c>
      <c r="K88" s="1" t="s">
        <v>22</v>
      </c>
      <c r="L88" s="1" t="str">
        <f>HYPERLINK("https://files.afu.se/Downloads/Transcripts/0%20-%20Government/USA%20-%20NASA%20Kennedy/2021 11 24 - NASA's Kennedy Space Center - Double Asteroid Redirection Test (DART) Acquisition of Signal_PFPpI3AMJLc - transcript (automated).pdf","Transcript Link")</f>
        <v>Transcript Link</v>
      </c>
      <c r="M88" s="2" t="str">
        <f>HYPERLINK("https://files.afu.se/Downloads/Transcripts/0%20-%20Government/USA%20-%20NASA%20Kennedy/2021 11 24 - NASA's Kennedy Space Center - Double Asteroid Redirection Test (DART) Acquisition of Signal_PFPpI3AMJLc - transcript (automated).pdf","Transcript Link")</f>
        <v>Transcript Link</v>
      </c>
    </row>
    <row r="89" ht="180" spans="1:13">
      <c r="A89" s="1" t="s">
        <v>405</v>
      </c>
      <c r="B89" s="1" t="s">
        <v>13</v>
      </c>
      <c r="C89" s="4" t="s">
        <v>410</v>
      </c>
      <c r="D89" s="1" t="s">
        <v>411</v>
      </c>
      <c r="E89" s="1" t="s">
        <v>412</v>
      </c>
      <c r="F89" s="4" t="s">
        <v>17</v>
      </c>
      <c r="G89" s="1" t="s">
        <v>18</v>
      </c>
      <c r="H89" s="1" t="s">
        <v>19</v>
      </c>
      <c r="I89" s="1" t="s">
        <v>20</v>
      </c>
      <c r="J89" s="1" t="s">
        <v>413</v>
      </c>
      <c r="K89" s="1" t="s">
        <v>22</v>
      </c>
      <c r="L89" s="1" t="str">
        <f>HYPERLINK("https://files.afu.se/Downloads/Transcripts/0%20-%20Government/USA%20-%20NASA%20Kennedy/2021 11 24 - NASA's Kennedy Space Center - Double Asteroid Redirection Test (DART) Spacecraft Separation_GrS72QDfjF4 - transcript (automated).pdf","Transcript Link")</f>
        <v>Transcript Link</v>
      </c>
      <c r="M89" s="2" t="str">
        <f>HYPERLINK("https://files.afu.se/Downloads/Transcripts/0%20-%20Government/USA%20-%20NASA%20Kennedy/2021 11 24 - NASA's Kennedy Space Center - Double Asteroid Redirection Test (DART) Spacecraft Separation_GrS72QDfjF4 - transcript (automated).pdf","Transcript Link")</f>
        <v>Transcript Link</v>
      </c>
    </row>
    <row r="90" ht="180" spans="1:13">
      <c r="A90" s="1" t="s">
        <v>405</v>
      </c>
      <c r="B90" s="1" t="s">
        <v>13</v>
      </c>
      <c r="C90" s="4" t="s">
        <v>414</v>
      </c>
      <c r="D90" s="1" t="s">
        <v>415</v>
      </c>
      <c r="E90" s="1" t="s">
        <v>416</v>
      </c>
      <c r="F90" s="4" t="s">
        <v>17</v>
      </c>
      <c r="G90" s="1" t="s">
        <v>18</v>
      </c>
      <c r="H90" s="1" t="s">
        <v>19</v>
      </c>
      <c r="I90" s="1" t="s">
        <v>20</v>
      </c>
      <c r="J90" s="1" t="s">
        <v>417</v>
      </c>
      <c r="K90" s="1" t="s">
        <v>22</v>
      </c>
      <c r="L90" s="1" t="str">
        <f>HYPERLINK("https://files.afu.se/Downloads/Transcripts/0%20-%20Government/USA%20-%20NASA%20Kennedy/2021 11 24 - NASA's Kennedy Space Center - Double Asteroid Redirection Test (DART) Launch_jj75Ptm4NRo - transcript (automated).pdf","Transcript Link")</f>
        <v>Transcript Link</v>
      </c>
      <c r="M90" s="2" t="str">
        <f>HYPERLINK("https://files.afu.se/Downloads/Transcripts/0%20-%20Government/USA%20-%20NASA%20Kennedy/2021 11 24 - NASA's Kennedy Space Center - Double Asteroid Redirection Test (DART) Launch_jj75Ptm4NRo - transcript (automated).pdf","Transcript Link")</f>
        <v>Transcript Link</v>
      </c>
    </row>
    <row r="91" ht="180" spans="1:13">
      <c r="A91" s="1" t="s">
        <v>405</v>
      </c>
      <c r="B91" s="1" t="s">
        <v>13</v>
      </c>
      <c r="C91" s="4" t="s">
        <v>418</v>
      </c>
      <c r="D91" s="1" t="s">
        <v>419</v>
      </c>
      <c r="E91" s="1" t="s">
        <v>420</v>
      </c>
      <c r="F91" s="4" t="s">
        <v>17</v>
      </c>
      <c r="G91" s="1" t="s">
        <v>18</v>
      </c>
      <c r="H91" s="1" t="s">
        <v>19</v>
      </c>
      <c r="I91" s="1" t="s">
        <v>20</v>
      </c>
      <c r="J91" s="1" t="s">
        <v>421</v>
      </c>
      <c r="K91" s="1" t="s">
        <v>22</v>
      </c>
      <c r="L91" s="1" t="str">
        <f>HYPERLINK("https://files.afu.se/Downloads/Transcripts/0%20-%20Government/USA%20-%20NASA%20Kennedy/2021 11 24 - NASA's Kennedy Space Center - DART Launch Broadcast Begins_J2cVwjXPa_U - transcript (automated).pdf","Transcript Link")</f>
        <v>Transcript Link</v>
      </c>
      <c r="M91" s="2" t="str">
        <f>HYPERLINK("https://files.afu.se/Downloads/Transcripts/0%20-%20Government/USA%20-%20NASA%20Kennedy/2021 11 24 - NASA's Kennedy Space Center - DART Launch Broadcast Begins_J2cVwjXPa_U - transcript (automated).pdf","Transcript Link")</f>
        <v>Transcript Link</v>
      </c>
    </row>
    <row r="92" ht="210" spans="1:13">
      <c r="A92" s="1" t="s">
        <v>422</v>
      </c>
      <c r="B92" s="1" t="s">
        <v>13</v>
      </c>
      <c r="C92" s="4" t="s">
        <v>423</v>
      </c>
      <c r="D92" s="1" t="s">
        <v>424</v>
      </c>
      <c r="E92" s="1" t="s">
        <v>425</v>
      </c>
      <c r="F92" s="4" t="s">
        <v>17</v>
      </c>
      <c r="G92" s="1" t="s">
        <v>18</v>
      </c>
      <c r="H92" s="1" t="s">
        <v>19</v>
      </c>
      <c r="I92" s="1" t="s">
        <v>20</v>
      </c>
      <c r="J92" s="1" t="s">
        <v>426</v>
      </c>
      <c r="K92" s="1" t="s">
        <v>22</v>
      </c>
      <c r="L92" s="1" t="str">
        <f>HYPERLINK("https://files.afu.se/Downloads/Transcripts/0%20-%20Government/USA%20-%20NASA%20Kennedy/2021 11 19 - NASA's Kennedy Space Center - Kennedy Countdown for Nov. 19, 2021_B_Cj80SvHKY - transcript (automated).pdf","Transcript Link")</f>
        <v>Transcript Link</v>
      </c>
      <c r="M92" s="2" t="str">
        <f>HYPERLINK("https://files.afu.se/Downloads/Transcripts/0%20-%20Government/USA%20-%20NASA%20Kennedy/2021 11 19 - NASA's Kennedy Space Center - Kennedy Countdown for Nov. 19, 2021_B_Cj80SvHKY - transcript (automated).pdf","Transcript Link")</f>
        <v>Transcript Link</v>
      </c>
    </row>
    <row r="93" ht="180" spans="1:13">
      <c r="A93" s="1" t="s">
        <v>427</v>
      </c>
      <c r="B93" s="1" t="s">
        <v>13</v>
      </c>
      <c r="C93" s="4" t="s">
        <v>428</v>
      </c>
      <c r="D93" s="1" t="s">
        <v>429</v>
      </c>
      <c r="F93" s="4" t="s">
        <v>17</v>
      </c>
      <c r="G93" s="1" t="s">
        <v>18</v>
      </c>
      <c r="H93" s="1" t="s">
        <v>19</v>
      </c>
      <c r="I93" s="1" t="s">
        <v>20</v>
      </c>
      <c r="J93" s="1" t="s">
        <v>430</v>
      </c>
      <c r="K93" s="1" t="s">
        <v>22</v>
      </c>
      <c r="L93" s="1" t="str">
        <f>HYPERLINK("https://files.afu.se/Downloads/Transcripts/0%20-%20Government/USA%20-%20NASA%20Kennedy/2021 11 15 - NASA's Kennedy Space Center - 2021 - KSC is GO!_eEUmiVNjb3k - transcript (automated).pdf","Transcript Link")</f>
        <v>Transcript Link</v>
      </c>
      <c r="M93" s="2" t="str">
        <f>HYPERLINK("https://files.afu.se/Downloads/Transcripts/0%20-%20Government/USA%20-%20NASA%20Kennedy/2021 11 15 - NASA's Kennedy Space Center - 2021 - KSC is GO!_eEUmiVNjb3k - transcript (automated).pdf","Transcript Link")</f>
        <v>Transcript Link</v>
      </c>
    </row>
    <row r="94" ht="180" spans="1:13">
      <c r="A94" s="1" t="s">
        <v>431</v>
      </c>
      <c r="B94" s="1" t="s">
        <v>13</v>
      </c>
      <c r="C94" s="4" t="s">
        <v>432</v>
      </c>
      <c r="D94" s="1" t="s">
        <v>433</v>
      </c>
      <c r="E94" s="1" t="s">
        <v>434</v>
      </c>
      <c r="F94" s="4" t="s">
        <v>17</v>
      </c>
      <c r="G94" s="1" t="s">
        <v>18</v>
      </c>
      <c r="H94" s="1" t="s">
        <v>19</v>
      </c>
      <c r="I94" s="1" t="s">
        <v>20</v>
      </c>
      <c r="J94" s="1" t="s">
        <v>435</v>
      </c>
      <c r="K94" s="1" t="s">
        <v>22</v>
      </c>
      <c r="L94" s="1" t="str">
        <f>HYPERLINK("https://files.afu.se/Downloads/Transcripts/0%20-%20Government/USA%20-%20NASA%20Kennedy/2021 11 12 - NASA's Kennedy Space Center - Kennedy Countdown for Nov. 12, 2021_0QD9FamCL0c - transcript (automated).pdf","Transcript Link")</f>
        <v>Transcript Link</v>
      </c>
      <c r="M94" s="2" t="str">
        <f>HYPERLINK("https://files.afu.se/Downloads/Transcripts/0%20-%20Government/USA%20-%20NASA%20Kennedy/2021 11 12 - NASA's Kennedy Space Center - Kennedy Countdown for Nov. 12, 2021_0QD9FamCL0c - transcript (automated).pdf","Transcript Link")</f>
        <v>Transcript Link</v>
      </c>
    </row>
    <row r="95" ht="180" spans="1:13">
      <c r="A95" s="1" t="s">
        <v>436</v>
      </c>
      <c r="B95" s="1" t="s">
        <v>13</v>
      </c>
      <c r="C95" s="4" t="s">
        <v>437</v>
      </c>
      <c r="D95" s="1" t="s">
        <v>438</v>
      </c>
      <c r="E95" s="1" t="s">
        <v>439</v>
      </c>
      <c r="F95" s="4" t="s">
        <v>17</v>
      </c>
      <c r="G95" s="1" t="s">
        <v>18</v>
      </c>
      <c r="H95" s="1" t="s">
        <v>19</v>
      </c>
      <c r="I95" s="1" t="s">
        <v>20</v>
      </c>
      <c r="J95" s="1" t="s">
        <v>440</v>
      </c>
      <c r="K95" s="1" t="s">
        <v>22</v>
      </c>
      <c r="L95" s="1" t="str">
        <f>HYPERLINK("https://files.afu.se/Downloads/Transcripts/0%20-%20Government/USA%20-%20NASA%20Kennedy/2021 11 11 - NASA's Kennedy Space Center - Crew-3 Launch Day Highlights_KsDM59EniUA - transcript (automated).pdf","Transcript Link")</f>
        <v>Transcript Link</v>
      </c>
      <c r="M95" s="2" t="str">
        <f>HYPERLINK("https://files.afu.se/Downloads/Transcripts/0%20-%20Government/USA%20-%20NASA%20Kennedy/2021 11 11 - NASA's Kennedy Space Center - Crew-3 Launch Day Highlights_KsDM59EniUA - transcript (automated).pdf","Transcript Link")</f>
        <v>Transcript Link</v>
      </c>
    </row>
    <row r="96" ht="180" spans="1:13">
      <c r="A96" s="1" t="s">
        <v>436</v>
      </c>
      <c r="B96" s="1" t="s">
        <v>13</v>
      </c>
      <c r="C96" s="4" t="s">
        <v>441</v>
      </c>
      <c r="D96" s="1" t="s">
        <v>442</v>
      </c>
      <c r="E96" s="1" t="s">
        <v>443</v>
      </c>
      <c r="F96" s="4" t="s">
        <v>17</v>
      </c>
      <c r="G96" s="1" t="s">
        <v>18</v>
      </c>
      <c r="H96" s="1" t="s">
        <v>19</v>
      </c>
      <c r="I96" s="1" t="s">
        <v>20</v>
      </c>
      <c r="J96" s="1" t="s">
        <v>444</v>
      </c>
      <c r="K96" s="1" t="s">
        <v>22</v>
      </c>
      <c r="L96" s="1" t="str">
        <f>HYPERLINK("https://files.afu.se/Downloads/Transcripts/0%20-%20Government/USA%20-%20NASA%20Kennedy/2021 11 11 - NASA's Kennedy Space Center - Crew-3  Spacecraft Sep_jsgf8OmdwW0 - transcript (automated).pdf","Transcript Link")</f>
        <v>Transcript Link</v>
      </c>
      <c r="M96" s="2" t="str">
        <f>HYPERLINK("https://files.afu.se/Downloads/Transcripts/0%20-%20Government/USA%20-%20NASA%20Kennedy/2021 11 11 - NASA's Kennedy Space Center - Crew-3  Spacecraft Sep_jsgf8OmdwW0 - transcript (automated).pdf","Transcript Link")</f>
        <v>Transcript Link</v>
      </c>
    </row>
    <row r="97" ht="180" spans="1:13">
      <c r="A97" s="1" t="s">
        <v>436</v>
      </c>
      <c r="B97" s="1" t="s">
        <v>13</v>
      </c>
      <c r="C97" s="4" t="s">
        <v>445</v>
      </c>
      <c r="D97" s="1" t="s">
        <v>446</v>
      </c>
      <c r="E97" s="1" t="s">
        <v>447</v>
      </c>
      <c r="F97" s="4" t="s">
        <v>17</v>
      </c>
      <c r="G97" s="1" t="s">
        <v>18</v>
      </c>
      <c r="H97" s="1" t="s">
        <v>19</v>
      </c>
      <c r="I97" s="1" t="s">
        <v>20</v>
      </c>
      <c r="J97" s="1" t="s">
        <v>448</v>
      </c>
      <c r="K97" s="1" t="s">
        <v>22</v>
      </c>
      <c r="L97" s="1" t="str">
        <f>HYPERLINK("https://files.afu.se/Downloads/Transcripts/0%20-%20Government/USA%20-%20NASA%20Kennedy/2021 11 11 - NASA's Kennedy Space Center - Crew-3 Launch_EVrb-caONU4 - transcript (automated).pdf","Transcript Link")</f>
        <v>Transcript Link</v>
      </c>
      <c r="M97" s="2" t="str">
        <f>HYPERLINK("https://files.afu.se/Downloads/Transcripts/0%20-%20Government/USA%20-%20NASA%20Kennedy/2021 11 11 - NASA's Kennedy Space Center - Crew-3 Launch_EVrb-caONU4 - transcript (automated).pdf","Transcript Link")</f>
        <v>Transcript Link</v>
      </c>
    </row>
    <row r="98" ht="180" spans="1:13">
      <c r="A98" s="1" t="s">
        <v>436</v>
      </c>
      <c r="B98" s="1" t="s">
        <v>13</v>
      </c>
      <c r="C98" s="4" t="s">
        <v>449</v>
      </c>
      <c r="D98" s="1" t="s">
        <v>450</v>
      </c>
      <c r="E98" s="1" t="s">
        <v>451</v>
      </c>
      <c r="F98" s="4" t="s">
        <v>17</v>
      </c>
      <c r="G98" s="1" t="s">
        <v>18</v>
      </c>
      <c r="H98" s="1" t="s">
        <v>19</v>
      </c>
      <c r="I98" s="1" t="s">
        <v>20</v>
      </c>
      <c r="J98" s="1" t="s">
        <v>452</v>
      </c>
      <c r="K98" s="1" t="s">
        <v>22</v>
      </c>
      <c r="L98" s="1" t="str">
        <f>HYPERLINK("https://files.afu.se/Downloads/Transcripts/0%20-%20Government/USA%20-%20NASA%20Kennedy/2021 11 11 - NASA's Kennedy Space Center - Crew-3 Hatch Closure_xfaHIZy2rkc - transcript (automated).pdf","Transcript Link")</f>
        <v>Transcript Link</v>
      </c>
      <c r="M98" s="2" t="str">
        <f>HYPERLINK("https://files.afu.se/Downloads/Transcripts/0%20-%20Government/USA%20-%20NASA%20Kennedy/2021 11 11 - NASA's Kennedy Space Center - Crew-3 Hatch Closure_xfaHIZy2rkc - transcript (automated).pdf","Transcript Link")</f>
        <v>Transcript Link</v>
      </c>
    </row>
    <row r="99" ht="180" spans="1:13">
      <c r="A99" s="1" t="s">
        <v>436</v>
      </c>
      <c r="B99" s="1" t="s">
        <v>13</v>
      </c>
      <c r="C99" s="4" t="s">
        <v>453</v>
      </c>
      <c r="D99" s="1" t="s">
        <v>454</v>
      </c>
      <c r="E99" s="1" t="s">
        <v>455</v>
      </c>
      <c r="F99" s="4" t="s">
        <v>17</v>
      </c>
      <c r="G99" s="1" t="s">
        <v>18</v>
      </c>
      <c r="H99" s="1" t="s">
        <v>19</v>
      </c>
      <c r="I99" s="1" t="s">
        <v>20</v>
      </c>
      <c r="J99" s="1" t="s">
        <v>456</v>
      </c>
      <c r="K99" s="1" t="s">
        <v>22</v>
      </c>
      <c r="L99" s="1" t="str">
        <f>HYPERLINK("https://files.afu.se/Downloads/Transcripts/0%20-%20Government/USA%20-%20NASA%20Kennedy/2021 11 11 - NASA's Kennedy Space Center - Crew-3 Access Arm_4c9z5lWA25Y - transcript (automated).pdf","Transcript Link")</f>
        <v>Transcript Link</v>
      </c>
      <c r="M99" s="2" t="str">
        <f>HYPERLINK("https://files.afu.se/Downloads/Transcripts/0%20-%20Government/USA%20-%20NASA%20Kennedy/2021 11 11 - NASA's Kennedy Space Center - Crew-3 Access Arm_4c9z5lWA25Y - transcript (automated).pdf","Transcript Link")</f>
        <v>Transcript Link</v>
      </c>
    </row>
    <row r="100" ht="180" spans="1:13">
      <c r="A100" s="1" t="s">
        <v>457</v>
      </c>
      <c r="B100" s="1" t="s">
        <v>13</v>
      </c>
      <c r="C100" s="4" t="s">
        <v>458</v>
      </c>
      <c r="D100" s="1" t="s">
        <v>459</v>
      </c>
      <c r="E100" s="1" t="s">
        <v>460</v>
      </c>
      <c r="F100" s="4" t="s">
        <v>17</v>
      </c>
      <c r="G100" s="1" t="s">
        <v>18</v>
      </c>
      <c r="H100" s="1" t="s">
        <v>19</v>
      </c>
      <c r="I100" s="1" t="s">
        <v>20</v>
      </c>
      <c r="J100" s="1" t="s">
        <v>461</v>
      </c>
      <c r="K100" s="1" t="s">
        <v>22</v>
      </c>
      <c r="L100" s="1" t="str">
        <f>HYPERLINK("https://files.afu.se/Downloads/Transcripts/0%20-%20Government/USA%20-%20NASA%20Kennedy/2021 11 10 - NASA's Kennedy Space Center - Crew-3 Walkout_1puHol4ycW0 - transcript (automated).pdf","Transcript Link")</f>
        <v>Transcript Link</v>
      </c>
      <c r="M100" s="2" t="str">
        <f>HYPERLINK("https://files.afu.se/Downloads/Transcripts/0%20-%20Government/USA%20-%20NASA%20Kennedy/2021 11 10 - NASA's Kennedy Space Center - Crew-3 Walkout_1puHol4ycW0 - transcript (automated).pdf","Transcript Link")</f>
        <v>Transcript Link</v>
      </c>
    </row>
    <row r="101" ht="180" spans="1:13">
      <c r="A101" s="1" t="s">
        <v>457</v>
      </c>
      <c r="B101" s="1" t="s">
        <v>13</v>
      </c>
      <c r="C101" s="4" t="s">
        <v>462</v>
      </c>
      <c r="D101" s="1" t="s">
        <v>463</v>
      </c>
      <c r="E101" s="1" t="s">
        <v>464</v>
      </c>
      <c r="F101" s="4" t="s">
        <v>17</v>
      </c>
      <c r="G101" s="1" t="s">
        <v>18</v>
      </c>
      <c r="H101" s="1" t="s">
        <v>19</v>
      </c>
      <c r="I101" s="1" t="s">
        <v>20</v>
      </c>
      <c r="J101" s="1" t="s">
        <v>465</v>
      </c>
      <c r="K101" s="1" t="s">
        <v>22</v>
      </c>
      <c r="L101" s="1" t="str">
        <f>HYPERLINK("https://files.afu.se/Downloads/Transcripts/0%20-%20Government/USA%20-%20NASA%20Kennedy/2021 11 10 - NASA's Kennedy Space Center - Crew-3 Suit up_KnyBsPtDuj8 - transcript (automated).pdf","Transcript Link")</f>
        <v>Transcript Link</v>
      </c>
      <c r="M101" s="2" t="str">
        <f>HYPERLINK("https://files.afu.se/Downloads/Transcripts/0%20-%20Government/USA%20-%20NASA%20Kennedy/2021 11 10 - NASA's Kennedy Space Center - Crew-3 Suit up_KnyBsPtDuj8 - transcript (automated).pdf","Transcript Link")</f>
        <v>Transcript Link</v>
      </c>
    </row>
    <row r="102" ht="180" spans="1:13">
      <c r="A102" s="1" t="s">
        <v>457</v>
      </c>
      <c r="B102" s="1" t="s">
        <v>13</v>
      </c>
      <c r="C102" s="4" t="s">
        <v>466</v>
      </c>
      <c r="D102" s="1" t="s">
        <v>467</v>
      </c>
      <c r="E102" s="1" t="s">
        <v>468</v>
      </c>
      <c r="F102" s="4" t="s">
        <v>17</v>
      </c>
      <c r="G102" s="1" t="s">
        <v>18</v>
      </c>
      <c r="H102" s="1" t="s">
        <v>19</v>
      </c>
      <c r="I102" s="1" t="s">
        <v>20</v>
      </c>
      <c r="J102" s="1" t="s">
        <v>469</v>
      </c>
      <c r="K102" s="1" t="s">
        <v>22</v>
      </c>
      <c r="L102" s="1" t="str">
        <f>HYPERLINK("https://files.afu.se/Downloads/Transcripts/0%20-%20Government/USA%20-%20NASA%20Kennedy/2021 11 10 - NASA's Kennedy Space Center - Crew-3 Broadcast Begins_laKVLFai9Gk - transcript (automated).pdf","Transcript Link")</f>
        <v>Transcript Link</v>
      </c>
      <c r="M102" s="2" t="str">
        <f>HYPERLINK("https://files.afu.se/Downloads/Transcripts/0%20-%20Government/USA%20-%20NASA%20Kennedy/2021 11 10 - NASA's Kennedy Space Center - Crew-3 Broadcast Begins_laKVLFai9Gk - transcript (automated).pdf","Transcript Link")</f>
        <v>Transcript Link</v>
      </c>
    </row>
    <row r="103" ht="180" spans="1:13">
      <c r="A103" s="1" t="s">
        <v>470</v>
      </c>
      <c r="B103" s="1" t="s">
        <v>13</v>
      </c>
      <c r="C103" s="4" t="s">
        <v>471</v>
      </c>
      <c r="D103" s="1" t="s">
        <v>472</v>
      </c>
      <c r="E103" s="1" t="s">
        <v>473</v>
      </c>
      <c r="F103" s="4" t="s">
        <v>17</v>
      </c>
      <c r="G103" s="1" t="s">
        <v>18</v>
      </c>
      <c r="H103" s="1" t="s">
        <v>19</v>
      </c>
      <c r="I103" s="1" t="s">
        <v>20</v>
      </c>
      <c r="J103" s="1" t="s">
        <v>474</v>
      </c>
      <c r="K103" s="1" t="s">
        <v>22</v>
      </c>
      <c r="L103" s="1" t="str">
        <f>HYPERLINK("https://files.afu.se/Downloads/Transcripts/0%20-%20Government/USA%20-%20NASA%20Kennedy/2021 11 05 - NASA's Kennedy Space Center - Kennedy Countdown for Nov. 5, 2021_1iVeJN7m1Dw - transcript (automated).pdf","Transcript Link")</f>
        <v>Transcript Link</v>
      </c>
      <c r="M103" s="2" t="str">
        <f>HYPERLINK("https://files.afu.se/Downloads/Transcripts/0%20-%20Government/USA%20-%20NASA%20Kennedy/2021 11 05 - NASA's Kennedy Space Center - Kennedy Countdown for Nov. 5, 2021_1iVeJN7m1Dw - transcript (automated).pdf","Transcript Link")</f>
        <v>Transcript Link</v>
      </c>
    </row>
    <row r="104" ht="180" spans="1:13">
      <c r="A104" s="1" t="s">
        <v>475</v>
      </c>
      <c r="B104" s="1" t="s">
        <v>13</v>
      </c>
      <c r="C104" s="4" t="s">
        <v>476</v>
      </c>
      <c r="D104" s="1" t="s">
        <v>477</v>
      </c>
      <c r="E104" s="1" t="s">
        <v>478</v>
      </c>
      <c r="F104" s="4" t="s">
        <v>17</v>
      </c>
      <c r="G104" s="1" t="s">
        <v>18</v>
      </c>
      <c r="H104" s="1" t="s">
        <v>19</v>
      </c>
      <c r="I104" s="1" t="s">
        <v>20</v>
      </c>
      <c r="J104" s="1" t="s">
        <v>479</v>
      </c>
      <c r="K104" s="1" t="s">
        <v>22</v>
      </c>
      <c r="L104" s="1" t="str">
        <f>HYPERLINK("https://files.afu.se/Downloads/Transcripts/0%20-%20Government/USA%20-%20NASA%20Kennedy/2021 10 29 - NASA's Kennedy Space Center - Kennedy Countdown for Oct. 29, 2021_H1IAT9hJcLs - transcript (automated).pdf","Transcript Link")</f>
        <v>Transcript Link</v>
      </c>
      <c r="M104" s="2" t="str">
        <f>HYPERLINK("https://files.afu.se/Downloads/Transcripts/0%20-%20Government/USA%20-%20NASA%20Kennedy/2021 10 29 - NASA's Kennedy Space Center - Kennedy Countdown for Oct. 29, 2021_H1IAT9hJcLs - transcript (automated).pdf","Transcript Link")</f>
        <v>Transcript Link</v>
      </c>
    </row>
    <row r="105" ht="180" spans="1:13">
      <c r="A105" s="1" t="s">
        <v>475</v>
      </c>
      <c r="B105" s="1" t="s">
        <v>13</v>
      </c>
      <c r="C105" s="4" t="s">
        <v>480</v>
      </c>
      <c r="D105" s="1" t="s">
        <v>481</v>
      </c>
      <c r="E105" s="1" t="s">
        <v>482</v>
      </c>
      <c r="F105" s="4" t="s">
        <v>17</v>
      </c>
      <c r="G105" s="1" t="s">
        <v>18</v>
      </c>
      <c r="H105" s="1" t="s">
        <v>19</v>
      </c>
      <c r="I105" s="1" t="s">
        <v>20</v>
      </c>
      <c r="J105" s="1" t="s">
        <v>483</v>
      </c>
      <c r="K105" s="1" t="s">
        <v>22</v>
      </c>
      <c r="L105" s="1">
        <v>0</v>
      </c>
      <c r="M105" s="2">
        <v>0</v>
      </c>
    </row>
    <row r="106" ht="195" spans="1:13">
      <c r="A106" s="1" t="s">
        <v>484</v>
      </c>
      <c r="B106" s="1" t="s">
        <v>13</v>
      </c>
      <c r="C106" s="4" t="s">
        <v>485</v>
      </c>
      <c r="D106" s="1" t="s">
        <v>486</v>
      </c>
      <c r="E106" s="1" t="s">
        <v>487</v>
      </c>
      <c r="F106" s="4" t="s">
        <v>17</v>
      </c>
      <c r="G106" s="1" t="s">
        <v>18</v>
      </c>
      <c r="H106" s="1" t="s">
        <v>19</v>
      </c>
      <c r="I106" s="1" t="s">
        <v>20</v>
      </c>
      <c r="J106" s="1" t="s">
        <v>488</v>
      </c>
      <c r="K106" s="1" t="s">
        <v>22</v>
      </c>
      <c r="L106" s="1" t="str">
        <f>HYPERLINK("https://files.afu.se/Downloads/Transcripts/0%20-%20Government/USA%20-%20NASA%20Kennedy/2021 10 22 - NASA's Kennedy Space Center - Kennedy Countdown for Oct. 22, 2021_JgjlJ1UEmAQ - transcript (automated).pdf","Transcript Link")</f>
        <v>Transcript Link</v>
      </c>
      <c r="M106" s="2" t="str">
        <f>HYPERLINK("https://files.afu.se/Downloads/Transcripts/0%20-%20Government/USA%20-%20NASA%20Kennedy/2021 10 22 - NASA's Kennedy Space Center - Kennedy Countdown for Oct. 22, 2021_JgjlJ1UEmAQ - transcript (automated).pdf","Transcript Link")</f>
        <v>Transcript Link</v>
      </c>
    </row>
    <row r="107" ht="180" spans="1:13">
      <c r="A107" s="1" t="s">
        <v>489</v>
      </c>
      <c r="B107" s="1" t="s">
        <v>13</v>
      </c>
      <c r="C107" s="4" t="s">
        <v>490</v>
      </c>
      <c r="D107" s="1" t="s">
        <v>491</v>
      </c>
      <c r="E107" s="1" t="s">
        <v>492</v>
      </c>
      <c r="F107" s="4" t="s">
        <v>17</v>
      </c>
      <c r="G107" s="1" t="s">
        <v>18</v>
      </c>
      <c r="H107" s="1" t="s">
        <v>19</v>
      </c>
      <c r="I107" s="1" t="s">
        <v>20</v>
      </c>
      <c r="J107" s="1" t="s">
        <v>493</v>
      </c>
      <c r="K107" s="1" t="s">
        <v>22</v>
      </c>
      <c r="L107" s="1" t="str">
        <f>HYPERLINK("https://files.afu.se/Downloads/Transcripts/0%20-%20Government/USA%20-%20NASA%20Kennedy/2021 10 18 - NASA's Kennedy Space Center - Kennedy Countdown for Oct. 18, 2021_IJ3AHhoBDIU - transcript (automated).pdf","Transcript Link")</f>
        <v>Transcript Link</v>
      </c>
      <c r="M107" s="2" t="str">
        <f>HYPERLINK("https://files.afu.se/Downloads/Transcripts/0%20-%20Government/USA%20-%20NASA%20Kennedy/2021 10 18 - NASA's Kennedy Space Center - Kennedy Countdown for Oct. 18, 2021_IJ3AHhoBDIU - transcript (automated).pdf","Transcript Link")</f>
        <v>Transcript Link</v>
      </c>
    </row>
    <row r="108" ht="180" spans="1:13">
      <c r="A108" s="1" t="s">
        <v>494</v>
      </c>
      <c r="B108" s="1" t="s">
        <v>13</v>
      </c>
      <c r="C108" s="4" t="s">
        <v>495</v>
      </c>
      <c r="D108" s="1" t="s">
        <v>496</v>
      </c>
      <c r="E108" s="1" t="s">
        <v>497</v>
      </c>
      <c r="F108" s="4" t="s">
        <v>17</v>
      </c>
      <c r="G108" s="1" t="s">
        <v>18</v>
      </c>
      <c r="H108" s="1" t="s">
        <v>19</v>
      </c>
      <c r="I108" s="1" t="s">
        <v>20</v>
      </c>
      <c r="J108" s="1" t="s">
        <v>498</v>
      </c>
      <c r="K108" s="1" t="s">
        <v>22</v>
      </c>
      <c r="L108" s="1" t="str">
        <f>HYPERLINK("https://files.afu.se/Downloads/Transcripts/0%20-%20Government/USA%20-%20NASA%20Kennedy/2021 10 16 - NASA's Kennedy Space Center - Lucy Spacecraft Separation_dbGQ37bIIHE - transcript (automated).pdf","Transcript Link")</f>
        <v>Transcript Link</v>
      </c>
      <c r="M108" s="2" t="str">
        <f>HYPERLINK("https://files.afu.se/Downloads/Transcripts/0%20-%20Government/USA%20-%20NASA%20Kennedy/2021 10 16 - NASA's Kennedy Space Center - Lucy Spacecraft Separation_dbGQ37bIIHE - transcript (automated).pdf","Transcript Link")</f>
        <v>Transcript Link</v>
      </c>
    </row>
    <row r="109" ht="180" spans="1:13">
      <c r="A109" s="1" t="s">
        <v>494</v>
      </c>
      <c r="B109" s="1" t="s">
        <v>13</v>
      </c>
      <c r="C109" s="4" t="s">
        <v>499</v>
      </c>
      <c r="D109" s="1" t="s">
        <v>500</v>
      </c>
      <c r="E109" s="1" t="s">
        <v>501</v>
      </c>
      <c r="F109" s="4" t="s">
        <v>17</v>
      </c>
      <c r="G109" s="1" t="s">
        <v>18</v>
      </c>
      <c r="H109" s="1" t="s">
        <v>19</v>
      </c>
      <c r="I109" s="1" t="s">
        <v>20</v>
      </c>
      <c r="J109" s="1" t="s">
        <v>502</v>
      </c>
      <c r="K109" s="1" t="s">
        <v>22</v>
      </c>
      <c r="L109" s="1" t="str">
        <f>HYPERLINK("https://files.afu.se/Downloads/Transcripts/0%20-%20Government/USA%20-%20NASA%20Kennedy/2021 10 16 - NASA's Kennedy Space Center - Liftoff of NASA's Lucy Spacecraft_UXn5Yp1tt6w - transcript (automated).pdf","Transcript Link")</f>
        <v>Transcript Link</v>
      </c>
      <c r="M109" s="2" t="str">
        <f>HYPERLINK("https://files.afu.se/Downloads/Transcripts/0%20-%20Government/USA%20-%20NASA%20Kennedy/2021 10 16 - NASA's Kennedy Space Center - Liftoff of NASA's Lucy Spacecraft_UXn5Yp1tt6w - transcript (automated).pdf","Transcript Link")</f>
        <v>Transcript Link</v>
      </c>
    </row>
    <row r="110" ht="180" spans="1:13">
      <c r="A110" s="1" t="s">
        <v>494</v>
      </c>
      <c r="B110" s="1" t="s">
        <v>13</v>
      </c>
      <c r="C110" s="4" t="s">
        <v>503</v>
      </c>
      <c r="D110" s="1" t="s">
        <v>504</v>
      </c>
      <c r="E110" s="1" t="s">
        <v>505</v>
      </c>
      <c r="F110" s="4" t="s">
        <v>17</v>
      </c>
      <c r="G110" s="1" t="s">
        <v>18</v>
      </c>
      <c r="H110" s="1" t="s">
        <v>19</v>
      </c>
      <c r="I110" s="1" t="s">
        <v>20</v>
      </c>
      <c r="J110" s="1" t="s">
        <v>506</v>
      </c>
      <c r="K110" s="1" t="s">
        <v>22</v>
      </c>
      <c r="L110" s="1" t="str">
        <f>HYPERLINK("https://files.afu.se/Downloads/Transcripts/0%20-%20Government/USA%20-%20NASA%20Kennedy/2021 10 16 - NASA's Kennedy Space Center - Lucy Launch Poll_UFDYp_LIDC4 - transcript (automated).pdf","Transcript Link")</f>
        <v>Transcript Link</v>
      </c>
      <c r="M110" s="2" t="str">
        <f>HYPERLINK("https://files.afu.se/Downloads/Transcripts/0%20-%20Government/USA%20-%20NASA%20Kennedy/2021 10 16 - NASA's Kennedy Space Center - Lucy Launch Poll_UFDYp_LIDC4 - transcript (automated).pdf","Transcript Link")</f>
        <v>Transcript Link</v>
      </c>
    </row>
    <row r="111" ht="180" spans="1:13">
      <c r="A111" s="1" t="s">
        <v>494</v>
      </c>
      <c r="B111" s="1" t="s">
        <v>13</v>
      </c>
      <c r="C111" s="4" t="s">
        <v>507</v>
      </c>
      <c r="D111" s="1" t="s">
        <v>508</v>
      </c>
      <c r="E111" s="1" t="s">
        <v>509</v>
      </c>
      <c r="F111" s="4" t="s">
        <v>17</v>
      </c>
      <c r="G111" s="1" t="s">
        <v>18</v>
      </c>
      <c r="H111" s="1" t="s">
        <v>19</v>
      </c>
      <c r="I111" s="1" t="s">
        <v>20</v>
      </c>
      <c r="J111" s="1" t="s">
        <v>510</v>
      </c>
      <c r="K111" s="1" t="s">
        <v>22</v>
      </c>
      <c r="L111" s="1" t="str">
        <f>HYPERLINK("https://files.afu.se/Downloads/Transcripts/0%20-%20Government/USA%20-%20NASA%20Kennedy/2021 10 16 - NASA's Kennedy Space Center - Lucy Launch Broadcast Begins_1zIcJ-pzTQ8 - transcript (automated).pdf","Transcript Link")</f>
        <v>Transcript Link</v>
      </c>
      <c r="M111" s="2" t="str">
        <f>HYPERLINK("https://files.afu.se/Downloads/Transcripts/0%20-%20Government/USA%20-%20NASA%20Kennedy/2021 10 16 - NASA's Kennedy Space Center - Lucy Launch Broadcast Begins_1zIcJ-pzTQ8 - transcript (automated).pdf","Transcript Link")</f>
        <v>Transcript Link</v>
      </c>
    </row>
    <row r="112" ht="195" spans="1:13">
      <c r="A112" s="1" t="s">
        <v>511</v>
      </c>
      <c r="B112" s="1" t="s">
        <v>13</v>
      </c>
      <c r="C112" s="4" t="s">
        <v>512</v>
      </c>
      <c r="D112" s="1" t="s">
        <v>513</v>
      </c>
      <c r="E112" s="1" t="s">
        <v>514</v>
      </c>
      <c r="F112" s="4" t="s">
        <v>17</v>
      </c>
      <c r="G112" s="1" t="s">
        <v>18</v>
      </c>
      <c r="H112" s="1" t="s">
        <v>19</v>
      </c>
      <c r="I112" s="1" t="s">
        <v>20</v>
      </c>
      <c r="J112" s="1" t="s">
        <v>515</v>
      </c>
      <c r="K112" s="1" t="s">
        <v>22</v>
      </c>
      <c r="L112" s="1" t="str">
        <f>HYPERLINK("https://files.afu.se/Downloads/Transcripts/0%20-%20Government/USA%20-%20NASA%20Kennedy/2021 10 08 - NASA's Kennedy Space Center - Kennedy Countdown for Friday, Oct. 8, 2021_7x8akihavis - transcript (automated).pdf","Transcript Link")</f>
        <v>Transcript Link</v>
      </c>
      <c r="M112" s="2" t="str">
        <f>HYPERLINK("https://files.afu.se/Downloads/Transcripts/0%20-%20Government/USA%20-%20NASA%20Kennedy/2021 10 08 - NASA's Kennedy Space Center - Kennedy Countdown for Friday, Oct. 8, 2021_7x8akihavis - transcript (automated).pdf","Transcript Link")</f>
        <v>Transcript Link</v>
      </c>
    </row>
    <row r="113" ht="180" spans="1:13">
      <c r="A113" s="1" t="s">
        <v>516</v>
      </c>
      <c r="B113" s="1" t="s">
        <v>13</v>
      </c>
      <c r="C113" s="4" t="s">
        <v>517</v>
      </c>
      <c r="D113" s="1" t="s">
        <v>518</v>
      </c>
      <c r="E113" s="1" t="s">
        <v>519</v>
      </c>
      <c r="F113" s="4" t="s">
        <v>17</v>
      </c>
      <c r="G113" s="1" t="s">
        <v>18</v>
      </c>
      <c r="H113" s="1" t="s">
        <v>19</v>
      </c>
      <c r="I113" s="1" t="s">
        <v>20</v>
      </c>
      <c r="J113" s="1" t="s">
        <v>520</v>
      </c>
      <c r="K113" s="1" t="s">
        <v>22</v>
      </c>
      <c r="L113" s="1" t="str">
        <f>HYPERLINK("https://files.afu.se/Downloads/Transcripts/0%20-%20Government/USA%20-%20NASA%20Kennedy/2021 10 01 - NASA's Kennedy Space Center - Kennedy Countdown for Oct. 1, 2021_MS4Js-Sfee4 - transcript (automated).pdf","Transcript Link")</f>
        <v>Transcript Link</v>
      </c>
      <c r="M113" s="2" t="str">
        <f>HYPERLINK("https://files.afu.se/Downloads/Transcripts/0%20-%20Government/USA%20-%20NASA%20Kennedy/2021 10 01 - NASA's Kennedy Space Center - Kennedy Countdown for Oct. 1, 2021_MS4Js-Sfee4 - transcript (automated).pdf","Transcript Link")</f>
        <v>Transcript Link</v>
      </c>
    </row>
    <row r="114" ht="180" spans="1:13">
      <c r="A114" s="1" t="s">
        <v>521</v>
      </c>
      <c r="B114" s="1" t="s">
        <v>13</v>
      </c>
      <c r="C114" s="4" t="s">
        <v>522</v>
      </c>
      <c r="D114" s="1" t="s">
        <v>523</v>
      </c>
      <c r="E114" s="1" t="s">
        <v>524</v>
      </c>
      <c r="F114" s="4" t="s">
        <v>17</v>
      </c>
      <c r="G114" s="1" t="s">
        <v>18</v>
      </c>
      <c r="H114" s="1" t="s">
        <v>19</v>
      </c>
      <c r="I114" s="1" t="s">
        <v>20</v>
      </c>
      <c r="J114" s="1" t="s">
        <v>525</v>
      </c>
      <c r="K114" s="1" t="s">
        <v>22</v>
      </c>
      <c r="L114" s="1" t="str">
        <f>HYPERLINK("https://files.afu.se/Downloads/Transcripts/0%20-%20Government/USA%20-%20NASA%20Kennedy/2021 09 29 - NASA's Kennedy Space Center - NASA Artemis I Umbilical Release and Retract Test_oeuU_ffBlGI - transcript (automated).pdf","Transcript Link")</f>
        <v>Transcript Link</v>
      </c>
      <c r="M114" s="2" t="str">
        <f>HYPERLINK("https://files.afu.se/Downloads/Transcripts/0%20-%20Government/USA%20-%20NASA%20Kennedy/2021 09 29 - NASA's Kennedy Space Center - NASA Artemis I Umbilical Release and Retract Test_oeuU_ffBlGI - transcript (automated).pdf","Transcript Link")</f>
        <v>Transcript Link</v>
      </c>
    </row>
    <row r="115" ht="180" spans="1:13">
      <c r="A115" s="1" t="s">
        <v>526</v>
      </c>
      <c r="B115" s="1" t="s">
        <v>13</v>
      </c>
      <c r="C115" s="4" t="s">
        <v>527</v>
      </c>
      <c r="D115" s="1" t="s">
        <v>528</v>
      </c>
      <c r="E115" s="1" t="s">
        <v>529</v>
      </c>
      <c r="F115" s="4" t="s">
        <v>17</v>
      </c>
      <c r="G115" s="1" t="s">
        <v>18</v>
      </c>
      <c r="H115" s="1" t="s">
        <v>19</v>
      </c>
      <c r="I115" s="1" t="s">
        <v>20</v>
      </c>
      <c r="J115" s="1" t="s">
        <v>530</v>
      </c>
      <c r="K115" s="1" t="s">
        <v>22</v>
      </c>
      <c r="L115" s="1" t="str">
        <f>HYPERLINK("https://files.afu.se/Downloads/Transcripts/0%20-%20Government/USA%20-%20NASA%20Kennedy/2021 09 27 - NASA's Kennedy Space Center - Landsat 9 Spacecraft Separation_rlriQ8HZD-c - transcript (automated).pdf","Transcript Link")</f>
        <v>Transcript Link</v>
      </c>
      <c r="M115" s="2" t="str">
        <f>HYPERLINK("https://files.afu.se/Downloads/Transcripts/0%20-%20Government/USA%20-%20NASA%20Kennedy/2021 09 27 - NASA's Kennedy Space Center - Landsat 9 Spacecraft Separation_rlriQ8HZD-c - transcript (automated).pdf","Transcript Link")</f>
        <v>Transcript Link</v>
      </c>
    </row>
    <row r="116" ht="180" spans="1:13">
      <c r="A116" s="1" t="s">
        <v>526</v>
      </c>
      <c r="B116" s="1" t="s">
        <v>13</v>
      </c>
      <c r="C116" s="4" t="s">
        <v>531</v>
      </c>
      <c r="D116" s="1" t="s">
        <v>532</v>
      </c>
      <c r="E116" s="1" t="s">
        <v>533</v>
      </c>
      <c r="F116" s="4" t="s">
        <v>17</v>
      </c>
      <c r="G116" s="1" t="s">
        <v>18</v>
      </c>
      <c r="H116" s="1" t="s">
        <v>19</v>
      </c>
      <c r="I116" s="1" t="s">
        <v>20</v>
      </c>
      <c r="J116" s="1" t="s">
        <v>534</v>
      </c>
      <c r="K116" s="1" t="s">
        <v>22</v>
      </c>
      <c r="L116" s="1" t="str">
        <f>HYPERLINK("https://files.afu.se/Downloads/Transcripts/0%20-%20Government/USA%20-%20NASA%20Kennedy/2021 09 27 - NASA's Kennedy Space Center - Liftoff of the Landsat 9 Mission!_EK_2HMDEKLs - transcript (automated).pdf","Transcript Link")</f>
        <v>Transcript Link</v>
      </c>
      <c r="M116" s="2" t="str">
        <f>HYPERLINK("https://files.afu.se/Downloads/Transcripts/0%20-%20Government/USA%20-%20NASA%20Kennedy/2021 09 27 - NASA's Kennedy Space Center - Liftoff of the Landsat 9 Mission!_EK_2HMDEKLs - transcript (automated).pdf","Transcript Link")</f>
        <v>Transcript Link</v>
      </c>
    </row>
    <row r="117" ht="180" spans="1:13">
      <c r="A117" s="1" t="s">
        <v>526</v>
      </c>
      <c r="B117" s="1" t="s">
        <v>13</v>
      </c>
      <c r="C117" s="4" t="s">
        <v>535</v>
      </c>
      <c r="D117" s="1" t="s">
        <v>536</v>
      </c>
      <c r="E117" s="1" t="s">
        <v>537</v>
      </c>
      <c r="F117" s="4" t="s">
        <v>17</v>
      </c>
      <c r="G117" s="1" t="s">
        <v>18</v>
      </c>
      <c r="H117" s="1" t="s">
        <v>19</v>
      </c>
      <c r="I117" s="1" t="s">
        <v>20</v>
      </c>
      <c r="J117" s="1" t="s">
        <v>538</v>
      </c>
      <c r="K117" s="1" t="s">
        <v>22</v>
      </c>
      <c r="L117" s="1" t="str">
        <f>HYPERLINK("https://files.afu.se/Downloads/Transcripts/0%20-%20Government/USA%20-%20NASA%20Kennedy/2021 09 27 - NASA's Kennedy Space Center - Landsat 9 Launch Day Polling_TrkaGePQfZ4 - transcript (automated).pdf","Transcript Link")</f>
        <v>Transcript Link</v>
      </c>
      <c r="M117" s="2" t="str">
        <f>HYPERLINK("https://files.afu.se/Downloads/Transcripts/0%20-%20Government/USA%20-%20NASA%20Kennedy/2021 09 27 - NASA's Kennedy Space Center - Landsat 9 Launch Day Polling_TrkaGePQfZ4 - transcript (automated).pdf","Transcript Link")</f>
        <v>Transcript Link</v>
      </c>
    </row>
    <row r="118" ht="180" spans="1:13">
      <c r="A118" s="1" t="s">
        <v>526</v>
      </c>
      <c r="B118" s="1" t="s">
        <v>13</v>
      </c>
      <c r="C118" s="4" t="s">
        <v>539</v>
      </c>
      <c r="D118" s="1" t="s">
        <v>540</v>
      </c>
      <c r="E118" s="1" t="s">
        <v>541</v>
      </c>
      <c r="F118" s="4" t="s">
        <v>17</v>
      </c>
      <c r="G118" s="1" t="s">
        <v>18</v>
      </c>
      <c r="H118" s="1" t="s">
        <v>19</v>
      </c>
      <c r="I118" s="1" t="s">
        <v>20</v>
      </c>
      <c r="J118" s="1" t="s">
        <v>542</v>
      </c>
      <c r="K118" s="1" t="s">
        <v>22</v>
      </c>
      <c r="L118" s="1" t="str">
        <f>HYPERLINK("https://files.afu.se/Downloads/Transcripts/0%20-%20Government/USA%20-%20NASA%20Kennedy/2021 09 27 - NASA's Kennedy Space Center - Launch Services Program 2021 Missions_ruDi2kD1kpM - transcript (automated).pdf","Transcript Link")</f>
        <v>Transcript Link</v>
      </c>
      <c r="M118" s="2" t="str">
        <f>HYPERLINK("https://files.afu.se/Downloads/Transcripts/0%20-%20Government/USA%20-%20NASA%20Kennedy/2021 09 27 - NASA's Kennedy Space Center - Launch Services Program 2021 Missions_ruDi2kD1kpM - transcript (automated).pdf","Transcript Link")</f>
        <v>Transcript Link</v>
      </c>
    </row>
    <row r="119" ht="180" spans="1:13">
      <c r="A119" s="1" t="s">
        <v>526</v>
      </c>
      <c r="B119" s="1" t="s">
        <v>13</v>
      </c>
      <c r="C119" s="4" t="s">
        <v>543</v>
      </c>
      <c r="D119" s="1" t="s">
        <v>544</v>
      </c>
      <c r="E119" s="1" t="s">
        <v>545</v>
      </c>
      <c r="F119" s="4" t="s">
        <v>17</v>
      </c>
      <c r="G119" s="1" t="s">
        <v>18</v>
      </c>
      <c r="H119" s="1" t="s">
        <v>19</v>
      </c>
      <c r="I119" s="1" t="s">
        <v>20</v>
      </c>
      <c r="J119" s="1" t="s">
        <v>546</v>
      </c>
      <c r="K119" s="1" t="s">
        <v>22</v>
      </c>
      <c r="L119" s="1" t="str">
        <f>HYPERLINK("https://files.afu.se/Downloads/Transcripts/0%20-%20Government/USA%20-%20NASA%20Kennedy/2021 09 27 - NASA's Kennedy Space Center - Landsat 9  Broadcast Show Opens_bsaTirpn-uQ - transcript (automated).pdf","Transcript Link")</f>
        <v>Transcript Link</v>
      </c>
      <c r="M119" s="2" t="str">
        <f>HYPERLINK("https://files.afu.se/Downloads/Transcripts/0%20-%20Government/USA%20-%20NASA%20Kennedy/2021 09 27 - NASA's Kennedy Space Center - Landsat 9  Broadcast Show Opens_bsaTirpn-uQ - transcript (automated).pdf","Transcript Link")</f>
        <v>Transcript Link</v>
      </c>
    </row>
    <row r="120" ht="180" spans="1:13">
      <c r="A120" s="1" t="s">
        <v>547</v>
      </c>
      <c r="B120" s="1" t="s">
        <v>13</v>
      </c>
      <c r="C120" s="4" t="s">
        <v>548</v>
      </c>
      <c r="D120" s="1" t="s">
        <v>549</v>
      </c>
      <c r="E120" s="1" t="s">
        <v>550</v>
      </c>
      <c r="F120" s="4" t="s">
        <v>17</v>
      </c>
      <c r="G120" s="1" t="s">
        <v>18</v>
      </c>
      <c r="H120" s="1" t="s">
        <v>19</v>
      </c>
      <c r="I120" s="1" t="s">
        <v>20</v>
      </c>
      <c r="J120" s="1" t="s">
        <v>551</v>
      </c>
      <c r="K120" s="1" t="s">
        <v>22</v>
      </c>
      <c r="L120" s="1" t="str">
        <f>HYPERLINK("https://files.afu.se/Downloads/Transcripts/0%20-%20Government/USA%20-%20NASA%20Kennedy/2021 09 24 - NASA's Kennedy Space Center - Kennedy Countdown for Sept. 24, 2021_kDHB555q41E - transcript (automated).pdf","Transcript Link")</f>
        <v>Transcript Link</v>
      </c>
      <c r="M120" s="2" t="str">
        <f>HYPERLINK("https://files.afu.se/Downloads/Transcripts/0%20-%20Government/USA%20-%20NASA%20Kennedy/2021 09 24 - NASA's Kennedy Space Center - Kennedy Countdown for Sept. 24, 2021_kDHB555q41E - transcript (automated).pdf","Transcript Link")</f>
        <v>Transcript Link</v>
      </c>
    </row>
    <row r="121" ht="180" spans="1:13">
      <c r="A121" s="1" t="s">
        <v>552</v>
      </c>
      <c r="B121" s="1" t="s">
        <v>13</v>
      </c>
      <c r="C121" s="4" t="s">
        <v>553</v>
      </c>
      <c r="D121" s="1" t="s">
        <v>554</v>
      </c>
      <c r="E121" s="1" t="s">
        <v>555</v>
      </c>
      <c r="F121" s="4" t="s">
        <v>17</v>
      </c>
      <c r="G121" s="1" t="s">
        <v>18</v>
      </c>
      <c r="H121" s="1" t="s">
        <v>19</v>
      </c>
      <c r="I121" s="1" t="s">
        <v>20</v>
      </c>
      <c r="J121" s="1" t="s">
        <v>556</v>
      </c>
      <c r="K121" s="1" t="s">
        <v>22</v>
      </c>
      <c r="L121" s="1" t="str">
        <f>HYPERLINK("https://files.afu.se/Downloads/Transcripts/0%20-%20Government/USA%20-%20NASA%20Kennedy/2021 09 17 - NASA's Kennedy Space Center - Kennedy Countdown for Sept. 17, 2021_-aD3YynySkg - transcript (automated).pdf","Transcript Link")</f>
        <v>Transcript Link</v>
      </c>
      <c r="M121" s="2" t="str">
        <f>HYPERLINK("https://files.afu.se/Downloads/Transcripts/0%20-%20Government/USA%20-%20NASA%20Kennedy/2021 09 17 - NASA's Kennedy Space Center - Kennedy Countdown for Sept. 17, 2021_-aD3YynySkg - transcript (automated).pdf","Transcript Link")</f>
        <v>Transcript Link</v>
      </c>
    </row>
    <row r="122" ht="210" spans="1:13">
      <c r="A122" s="1" t="s">
        <v>557</v>
      </c>
      <c r="B122" s="1" t="s">
        <v>13</v>
      </c>
      <c r="C122" s="4" t="s">
        <v>558</v>
      </c>
      <c r="D122" s="1" t="s">
        <v>559</v>
      </c>
      <c r="E122" s="1" t="s">
        <v>560</v>
      </c>
      <c r="F122" s="4" t="s">
        <v>17</v>
      </c>
      <c r="G122" s="1" t="s">
        <v>18</v>
      </c>
      <c r="H122" s="1" t="s">
        <v>19</v>
      </c>
      <c r="I122" s="1" t="s">
        <v>20</v>
      </c>
      <c r="J122" s="1" t="s">
        <v>561</v>
      </c>
      <c r="K122" s="1" t="s">
        <v>22</v>
      </c>
      <c r="L122" s="1" t="str">
        <f>HYPERLINK("https://files.afu.se/Downloads/Transcripts/0%20-%20Government/USA%20-%20NASA%20Kennedy/2021 09 10 - NASA's Kennedy Space Center - Kennedy Countdown for Sept. 10, 2021_fmWJN1uEVLM - transcript (automated).pdf","Transcript Link")</f>
        <v>Transcript Link</v>
      </c>
      <c r="M122" s="2" t="str">
        <f>HYPERLINK("https://files.afu.se/Downloads/Transcripts/0%20-%20Government/USA%20-%20NASA%20Kennedy/2021 09 10 - NASA's Kennedy Space Center - Kennedy Countdown for Sept. 10, 2021_fmWJN1uEVLM - transcript (automated).pdf","Transcript Link")</f>
        <v>Transcript Link</v>
      </c>
    </row>
    <row r="123" ht="180" spans="1:13">
      <c r="A123" s="1" t="s">
        <v>562</v>
      </c>
      <c r="B123" s="1" t="s">
        <v>13</v>
      </c>
      <c r="C123" s="4" t="s">
        <v>563</v>
      </c>
      <c r="D123" s="1" t="s">
        <v>564</v>
      </c>
      <c r="E123" s="1" t="s">
        <v>565</v>
      </c>
      <c r="F123" s="4" t="s">
        <v>17</v>
      </c>
      <c r="G123" s="1" t="s">
        <v>18</v>
      </c>
      <c r="H123" s="1" t="s">
        <v>19</v>
      </c>
      <c r="I123" s="1" t="s">
        <v>20</v>
      </c>
      <c r="J123" s="1" t="s">
        <v>566</v>
      </c>
      <c r="K123" s="1" t="s">
        <v>22</v>
      </c>
      <c r="L123" s="1" t="str">
        <f>HYPERLINK("https://files.afu.se/Downloads/Transcripts/0%20-%20Government/USA%20-%20NASA%20Kennedy/2021 09 03 - NASA's Kennedy Space Center - Kennedy Countdown for Sept. 3, 2021_c6HCt04Stk8 - transcript (automated).pdf","Transcript Link")</f>
        <v>Transcript Link</v>
      </c>
      <c r="M123" s="2" t="str">
        <f>HYPERLINK("https://files.afu.se/Downloads/Transcripts/0%20-%20Government/USA%20-%20NASA%20Kennedy/2021 09 03 - NASA's Kennedy Space Center - Kennedy Countdown for Sept. 3, 2021_c6HCt04Stk8 - transcript (automated).pdf","Transcript Link")</f>
        <v>Transcript Link</v>
      </c>
    </row>
    <row r="124" ht="180" spans="1:13">
      <c r="A124" s="1" t="s">
        <v>567</v>
      </c>
      <c r="B124" s="1" t="s">
        <v>13</v>
      </c>
      <c r="C124" s="4" t="s">
        <v>568</v>
      </c>
      <c r="D124" s="1" t="s">
        <v>569</v>
      </c>
      <c r="E124" s="1" t="s">
        <v>570</v>
      </c>
      <c r="F124" s="4" t="s">
        <v>17</v>
      </c>
      <c r="G124" s="1" t="s">
        <v>18</v>
      </c>
      <c r="H124" s="1" t="s">
        <v>19</v>
      </c>
      <c r="I124" s="1" t="s">
        <v>20</v>
      </c>
      <c r="J124" s="1" t="s">
        <v>571</v>
      </c>
      <c r="K124" s="1" t="s">
        <v>22</v>
      </c>
      <c r="L124" s="1" t="str">
        <f>HYPERLINK("https://files.afu.se/Downloads/Transcripts/0%20-%20Government/USA%20-%20NASA%20Kennedy/2021 08 29 - NASA's Kennedy Space Center - CRS-23 Spacecraft Separation_wZTfsY3XHDQ - transcript (automated).pdf","Transcript Link")</f>
        <v>Transcript Link</v>
      </c>
      <c r="M124" s="2" t="str">
        <f>HYPERLINK("https://files.afu.se/Downloads/Transcripts/0%20-%20Government/USA%20-%20NASA%20Kennedy/2021 08 29 - NASA's Kennedy Space Center - CRS-23 Spacecraft Separation_wZTfsY3XHDQ - transcript (automated).pdf","Transcript Link")</f>
        <v>Transcript Link</v>
      </c>
    </row>
    <row r="125" ht="180" spans="1:13">
      <c r="A125" s="1" t="s">
        <v>567</v>
      </c>
      <c r="B125" s="1" t="s">
        <v>13</v>
      </c>
      <c r="C125" s="4" t="s">
        <v>572</v>
      </c>
      <c r="D125" s="1" t="s">
        <v>573</v>
      </c>
      <c r="E125" s="1" t="s">
        <v>574</v>
      </c>
      <c r="F125" s="4" t="s">
        <v>17</v>
      </c>
      <c r="G125" s="1" t="s">
        <v>18</v>
      </c>
      <c r="H125" s="1" t="s">
        <v>19</v>
      </c>
      <c r="I125" s="1" t="s">
        <v>20</v>
      </c>
      <c r="J125" s="1" t="s">
        <v>575</v>
      </c>
      <c r="K125" s="1" t="s">
        <v>22</v>
      </c>
      <c r="L125" s="1" t="str">
        <f>HYPERLINK("https://files.afu.se/Downloads/Transcripts/0%20-%20Government/USA%20-%20NASA%20Kennedy/2021 08 29 - NASA's Kennedy Space Center - CRS-23  Liftoff!_iOu065xkLC4 - transcript (automated).pdf","Transcript Link")</f>
        <v>Transcript Link</v>
      </c>
      <c r="M125" s="2" t="str">
        <f>HYPERLINK("https://files.afu.se/Downloads/Transcripts/0%20-%20Government/USA%20-%20NASA%20Kennedy/2021 08 29 - NASA's Kennedy Space Center - CRS-23  Liftoff!_iOu065xkLC4 - transcript (automated).pdf","Transcript Link")</f>
        <v>Transcript Link</v>
      </c>
    </row>
    <row r="126" ht="180" spans="1:13">
      <c r="A126" s="1" t="s">
        <v>576</v>
      </c>
      <c r="B126" s="1" t="s">
        <v>13</v>
      </c>
      <c r="C126" s="4" t="s">
        <v>577</v>
      </c>
      <c r="D126" s="1" t="s">
        <v>578</v>
      </c>
      <c r="E126" s="1" t="s">
        <v>579</v>
      </c>
      <c r="F126" s="4" t="s">
        <v>17</v>
      </c>
      <c r="G126" s="1" t="s">
        <v>18</v>
      </c>
      <c r="H126" s="1" t="s">
        <v>19</v>
      </c>
      <c r="I126" s="1" t="s">
        <v>20</v>
      </c>
      <c r="J126" s="1" t="s">
        <v>580</v>
      </c>
      <c r="K126" s="1" t="s">
        <v>22</v>
      </c>
      <c r="L126" s="1" t="str">
        <f>HYPERLINK("https://files.afu.se/Downloads/Transcripts/0%20-%20Government/USA%20-%20NASA%20Kennedy/2021 08 28 - NASA's Kennedy Space Center - Kennedy Space Center – America’s Premier Multiuser Spaceport_yczFDtz5xNQ - transcript (automated).pdf","Transcript Link")</f>
        <v>Transcript Link</v>
      </c>
      <c r="M126" s="2" t="str">
        <f>HYPERLINK("https://files.afu.se/Downloads/Transcripts/0%20-%20Government/USA%20-%20NASA%20Kennedy/2021 08 28 - NASA's Kennedy Space Center - Kennedy Space Center – America’s Premier Multiuser Spaceport_yczFDtz5xNQ - transcript (automated).pdf","Transcript Link")</f>
        <v>Transcript Link</v>
      </c>
    </row>
    <row r="127" ht="180" spans="1:13">
      <c r="A127" s="1" t="s">
        <v>576</v>
      </c>
      <c r="B127" s="1" t="s">
        <v>13</v>
      </c>
      <c r="C127" s="4" t="s">
        <v>581</v>
      </c>
      <c r="D127" s="1" t="s">
        <v>582</v>
      </c>
      <c r="E127" s="1" t="s">
        <v>583</v>
      </c>
      <c r="F127" s="4" t="s">
        <v>17</v>
      </c>
      <c r="G127" s="1" t="s">
        <v>18</v>
      </c>
      <c r="H127" s="1" t="s">
        <v>19</v>
      </c>
      <c r="I127" s="1" t="s">
        <v>20</v>
      </c>
      <c r="J127" s="1" t="s">
        <v>584</v>
      </c>
      <c r="K127" s="1" t="s">
        <v>22</v>
      </c>
      <c r="L127" s="1" t="str">
        <f>HYPERLINK("https://files.afu.se/Downloads/Transcripts/0%20-%20Government/USA%20-%20NASA%20Kennedy/2021 08 28 - NASA's Kennedy Space Center - SpaceX CRS-23 Launch is Scrubbed_wkmM6LkZCAc - transcript (automated).pdf","Transcript Link")</f>
        <v>Transcript Link</v>
      </c>
      <c r="M127" s="2" t="str">
        <f>HYPERLINK("https://files.afu.se/Downloads/Transcripts/0%20-%20Government/USA%20-%20NASA%20Kennedy/2021 08 28 - NASA's Kennedy Space Center - SpaceX CRS-23 Launch is Scrubbed_wkmM6LkZCAc - transcript (automated).pdf","Transcript Link")</f>
        <v>Transcript Link</v>
      </c>
    </row>
    <row r="128" ht="195" spans="1:13">
      <c r="A128" s="1" t="s">
        <v>585</v>
      </c>
      <c r="B128" s="1" t="s">
        <v>13</v>
      </c>
      <c r="C128" s="4" t="s">
        <v>586</v>
      </c>
      <c r="D128" s="1" t="s">
        <v>587</v>
      </c>
      <c r="E128" s="1" t="s">
        <v>588</v>
      </c>
      <c r="F128" s="4" t="s">
        <v>17</v>
      </c>
      <c r="G128" s="1" t="s">
        <v>18</v>
      </c>
      <c r="H128" s="1" t="s">
        <v>19</v>
      </c>
      <c r="I128" s="1" t="s">
        <v>20</v>
      </c>
      <c r="J128" s="1" t="s">
        <v>589</v>
      </c>
      <c r="K128" s="1" t="s">
        <v>22</v>
      </c>
      <c r="L128" s="1" t="str">
        <f>HYPERLINK("https://files.afu.se/Downloads/Transcripts/0%20-%20Government/USA%20-%20NASA%20Kennedy/2021 08 27 - NASA's Kennedy Space Center - Kennedy Countdown for Aug. 27, 2021_ios5jqcav6U - transcript (automated).pdf","Transcript Link")</f>
        <v>Transcript Link</v>
      </c>
      <c r="M128" s="2" t="str">
        <f>HYPERLINK("https://files.afu.se/Downloads/Transcripts/0%20-%20Government/USA%20-%20NASA%20Kennedy/2021 08 27 - NASA's Kennedy Space Center - Kennedy Countdown for Aug. 27, 2021_ios5jqcav6U - transcript (automated).pdf","Transcript Link")</f>
        <v>Transcript Link</v>
      </c>
    </row>
    <row r="129" ht="390" spans="1:13">
      <c r="A129" s="1" t="s">
        <v>590</v>
      </c>
      <c r="B129" s="1" t="s">
        <v>13</v>
      </c>
      <c r="C129" s="4" t="s">
        <v>591</v>
      </c>
      <c r="D129" s="1" t="s">
        <v>592</v>
      </c>
      <c r="E129" s="1" t="s">
        <v>593</v>
      </c>
      <c r="F129" s="4" t="s">
        <v>17</v>
      </c>
      <c r="G129" s="1" t="s">
        <v>18</v>
      </c>
      <c r="H129" s="1" t="s">
        <v>19</v>
      </c>
      <c r="I129" s="1" t="s">
        <v>20</v>
      </c>
      <c r="J129" s="1" t="s">
        <v>594</v>
      </c>
      <c r="K129" s="1" t="s">
        <v>22</v>
      </c>
      <c r="L129" s="1">
        <v>0</v>
      </c>
      <c r="M129" s="2">
        <v>0</v>
      </c>
    </row>
    <row r="130" ht="180" spans="1:13">
      <c r="A130" s="1" t="s">
        <v>595</v>
      </c>
      <c r="B130" s="1" t="s">
        <v>13</v>
      </c>
      <c r="C130" s="4" t="s">
        <v>596</v>
      </c>
      <c r="D130" s="1" t="s">
        <v>597</v>
      </c>
      <c r="E130" s="1" t="s">
        <v>598</v>
      </c>
      <c r="F130" s="4" t="s">
        <v>17</v>
      </c>
      <c r="G130" s="1" t="s">
        <v>18</v>
      </c>
      <c r="H130" s="1" t="s">
        <v>19</v>
      </c>
      <c r="I130" s="1" t="s">
        <v>20</v>
      </c>
      <c r="J130" s="1" t="s">
        <v>599</v>
      </c>
      <c r="K130" s="1" t="s">
        <v>22</v>
      </c>
      <c r="L130" s="1" t="str">
        <f>HYPERLINK("https://files.afu.se/Downloads/Transcripts/0%20-%20Government/USA%20-%20NASA%20Kennedy/2021 08 20 - NASA's Kennedy Space Center - Kennedy Countdown for August 20, 2021_Lqs1U7f4ov4 - transcript (automated).pdf","Transcript Link")</f>
        <v>Transcript Link</v>
      </c>
      <c r="M130" s="2" t="str">
        <f>HYPERLINK("https://files.afu.se/Downloads/Transcripts/0%20-%20Government/USA%20-%20NASA%20Kennedy/2021 08 20 - NASA's Kennedy Space Center - Kennedy Countdown for August 20, 2021_Lqs1U7f4ov4 - transcript (automated).pdf","Transcript Link")</f>
        <v>Transcript Link</v>
      </c>
    </row>
    <row r="131" ht="210" spans="1:13">
      <c r="A131" s="1" t="s">
        <v>600</v>
      </c>
      <c r="B131" s="1" t="s">
        <v>13</v>
      </c>
      <c r="C131" s="4" t="s">
        <v>601</v>
      </c>
      <c r="D131" s="1" t="s">
        <v>602</v>
      </c>
      <c r="E131" s="1" t="s">
        <v>603</v>
      </c>
      <c r="F131" s="4" t="s">
        <v>17</v>
      </c>
      <c r="G131" s="1" t="s">
        <v>18</v>
      </c>
      <c r="H131" s="1" t="s">
        <v>19</v>
      </c>
      <c r="I131" s="1" t="s">
        <v>20</v>
      </c>
      <c r="J131" s="1" t="s">
        <v>604</v>
      </c>
      <c r="K131" s="1" t="s">
        <v>22</v>
      </c>
      <c r="L131" s="1" t="str">
        <f>HYPERLINK("https://files.afu.se/Downloads/Transcripts/0%20-%20Government/USA%20-%20NASA%20Kennedy/2021 08 13 - NASA's Kennedy Space Center - Kennedy Countdown for August 13, 2021_q59T0ilRYfg - transcript (automated).pdf","Transcript Link")</f>
        <v>Transcript Link</v>
      </c>
      <c r="M131" s="2" t="str">
        <f>HYPERLINK("https://files.afu.se/Downloads/Transcripts/0%20-%20Government/USA%20-%20NASA%20Kennedy/2021 08 13 - NASA's Kennedy Space Center - Kennedy Countdown for August 13, 2021_q59T0ilRYfg - transcript (automated).pdf","Transcript Link")</f>
        <v>Transcript Link</v>
      </c>
    </row>
    <row r="132" ht="240" spans="1:13">
      <c r="A132" s="1" t="s">
        <v>605</v>
      </c>
      <c r="B132" s="1" t="s">
        <v>13</v>
      </c>
      <c r="C132" s="4" t="s">
        <v>606</v>
      </c>
      <c r="D132" s="1" t="s">
        <v>607</v>
      </c>
      <c r="E132" s="1" t="s">
        <v>608</v>
      </c>
      <c r="F132" s="4" t="s">
        <v>17</v>
      </c>
      <c r="G132" s="1" t="s">
        <v>18</v>
      </c>
      <c r="H132" s="1" t="s">
        <v>19</v>
      </c>
      <c r="I132" s="1" t="s">
        <v>20</v>
      </c>
      <c r="J132" s="1" t="s">
        <v>609</v>
      </c>
      <c r="K132" s="1" t="s">
        <v>22</v>
      </c>
      <c r="L132" s="1" t="str">
        <f>HYPERLINK("https://files.afu.se/Downloads/Transcripts/0%20-%20Government/USA%20-%20NASA%20Kennedy/2021 08 06 - NASA's Kennedy Space Center - Inside KSC! for August 6, 2021_cI4ojCAl6AE - transcript (automated).pdf","Transcript Link")</f>
        <v>Transcript Link</v>
      </c>
      <c r="M132" s="2" t="str">
        <f>HYPERLINK("https://files.afu.se/Downloads/Transcripts/0%20-%20Government/USA%20-%20NASA%20Kennedy/2021 08 06 - NASA's Kennedy Space Center - Inside KSC! for August 6, 2021_cI4ojCAl6AE - transcript (automated).pdf","Transcript Link")</f>
        <v>Transcript Link</v>
      </c>
    </row>
    <row r="133" ht="225" spans="1:13">
      <c r="A133" s="1" t="s">
        <v>610</v>
      </c>
      <c r="B133" s="1" t="s">
        <v>13</v>
      </c>
      <c r="C133" s="4" t="s">
        <v>611</v>
      </c>
      <c r="D133" s="1" t="s">
        <v>612</v>
      </c>
      <c r="E133" s="1" t="s">
        <v>613</v>
      </c>
      <c r="F133" s="4" t="s">
        <v>17</v>
      </c>
      <c r="G133" s="1" t="s">
        <v>18</v>
      </c>
      <c r="H133" s="1" t="s">
        <v>19</v>
      </c>
      <c r="I133" s="1" t="s">
        <v>20</v>
      </c>
      <c r="J133" s="1" t="s">
        <v>614</v>
      </c>
      <c r="K133" s="1" t="s">
        <v>22</v>
      </c>
      <c r="L133" s="1" t="str">
        <f>HYPERLINK("https://files.afu.se/Downloads/Transcripts/0%20-%20Government/USA%20-%20NASA%20Kennedy/2021 07 30 - NASA's Kennedy Space Center - Inside KSC! for July 30, 2021_sP2dxOXHTiY - transcript (automated).pdf","Transcript Link")</f>
        <v>Transcript Link</v>
      </c>
      <c r="M133" s="2" t="str">
        <f>HYPERLINK("https://files.afu.se/Downloads/Transcripts/0%20-%20Government/USA%20-%20NASA%20Kennedy/2021 07 30 - NASA's Kennedy Space Center - Inside KSC! for July 30, 2021_sP2dxOXHTiY - transcript (automated).pdf","Transcript Link")</f>
        <v>Transcript Link</v>
      </c>
    </row>
    <row r="134" ht="180" spans="1:13">
      <c r="A134" s="1" t="s">
        <v>615</v>
      </c>
      <c r="B134" s="1" t="s">
        <v>13</v>
      </c>
      <c r="C134" s="4" t="s">
        <v>616</v>
      </c>
      <c r="D134" s="1" t="s">
        <v>617</v>
      </c>
      <c r="E134" s="1" t="s">
        <v>618</v>
      </c>
      <c r="F134" s="4" t="s">
        <v>17</v>
      </c>
      <c r="G134" s="1" t="s">
        <v>18</v>
      </c>
      <c r="H134" s="1" t="s">
        <v>19</v>
      </c>
      <c r="I134" s="1" t="s">
        <v>20</v>
      </c>
      <c r="J134" s="1" t="s">
        <v>619</v>
      </c>
      <c r="K134" s="1" t="s">
        <v>22</v>
      </c>
      <c r="L134" s="1" t="str">
        <f>HYPERLINK("https://files.afu.se/Downloads/Transcripts/0%20-%20Government/USA%20-%20NASA%20Kennedy/2021 07 26 - NASA's Kennedy Space Center - Boeing's Starliner Spacecraft Rolls Out to the Pad for OFT-2_hdJ3rr3eKqY - transcript (automated).pdf","Transcript Link")</f>
        <v>Transcript Link</v>
      </c>
      <c r="M134" s="2" t="str">
        <f>HYPERLINK("https://files.afu.se/Downloads/Transcripts/0%20-%20Government/USA%20-%20NASA%20Kennedy/2021 07 26 - NASA's Kennedy Space Center - Boeing's Starliner Spacecraft Rolls Out to the Pad for OFT-2_hdJ3rr3eKqY - transcript (automated).pdf","Transcript Link")</f>
        <v>Transcript Link</v>
      </c>
    </row>
    <row r="135" ht="180" spans="1:13">
      <c r="A135" s="1" t="s">
        <v>620</v>
      </c>
      <c r="B135" s="1" t="s">
        <v>13</v>
      </c>
      <c r="C135" s="4" t="s">
        <v>621</v>
      </c>
      <c r="D135" s="1" t="s">
        <v>622</v>
      </c>
      <c r="E135" s="1" t="s">
        <v>623</v>
      </c>
      <c r="F135" s="4" t="s">
        <v>17</v>
      </c>
      <c r="G135" s="1" t="s">
        <v>18</v>
      </c>
      <c r="H135" s="1" t="s">
        <v>19</v>
      </c>
      <c r="I135" s="1" t="s">
        <v>20</v>
      </c>
      <c r="J135" s="1" t="s">
        <v>624</v>
      </c>
      <c r="K135" s="1" t="s">
        <v>22</v>
      </c>
      <c r="L135" s="1" t="str">
        <f>HYPERLINK("https://files.afu.se/Downloads/Transcripts/0%20-%20Government/USA%20-%20NASA%20Kennedy/2021 07 23 - NASA's Kennedy Space Center - Inside KSC! for July 23, 2021_QWVe3q2R2cA - transcript (automated).pdf","Transcript Link")</f>
        <v>Transcript Link</v>
      </c>
      <c r="M135" s="2" t="str">
        <f>HYPERLINK("https://files.afu.se/Downloads/Transcripts/0%20-%20Government/USA%20-%20NASA%20Kennedy/2021 07 23 - NASA's Kennedy Space Center - Inside KSC! for July 23, 2021_QWVe3q2R2cA - transcript (automated).pdf","Transcript Link")</f>
        <v>Transcript Link</v>
      </c>
    </row>
    <row r="136" ht="180" spans="1:13">
      <c r="A136" s="1" t="s">
        <v>625</v>
      </c>
      <c r="B136" s="1" t="s">
        <v>13</v>
      </c>
      <c r="C136" s="4" t="s">
        <v>626</v>
      </c>
      <c r="D136" s="1" t="s">
        <v>627</v>
      </c>
      <c r="E136" s="1" t="s">
        <v>628</v>
      </c>
      <c r="F136" s="4" t="s">
        <v>17</v>
      </c>
      <c r="G136" s="1" t="s">
        <v>18</v>
      </c>
      <c r="H136" s="1" t="s">
        <v>19</v>
      </c>
      <c r="I136" s="1" t="s">
        <v>20</v>
      </c>
      <c r="J136" s="1" t="s">
        <v>629</v>
      </c>
      <c r="K136" s="1" t="s">
        <v>22</v>
      </c>
      <c r="L136" s="1" t="str">
        <f>HYPERLINK("https://files.afu.se/Downloads/Transcripts/0%20-%20Government/USA%20-%20NASA%20Kennedy/2021 07 21 - NASA's Kennedy Space Center - Why does spaceflight affect astronauts’ immune systems _xkatAImzMU4 - transcript (automated).pdf","Transcript Link")</f>
        <v>Transcript Link</v>
      </c>
      <c r="M136" s="2" t="str">
        <f>HYPERLINK("https://files.afu.se/Downloads/Transcripts/0%20-%20Government/USA%20-%20NASA%20Kennedy/2021 07 21 - NASA's Kennedy Space Center - Why does spaceflight affect astronauts’ immune systems _xkatAImzMU4 - transcript (automated).pdf","Transcript Link")</f>
        <v>Transcript Link</v>
      </c>
    </row>
    <row r="137" ht="210" spans="1:13">
      <c r="A137" s="1" t="s">
        <v>630</v>
      </c>
      <c r="B137" s="1" t="s">
        <v>13</v>
      </c>
      <c r="C137" s="4" t="s">
        <v>631</v>
      </c>
      <c r="D137" s="1" t="s">
        <v>632</v>
      </c>
      <c r="E137" s="1" t="s">
        <v>633</v>
      </c>
      <c r="F137" s="4" t="s">
        <v>17</v>
      </c>
      <c r="G137" s="1" t="s">
        <v>18</v>
      </c>
      <c r="H137" s="1" t="s">
        <v>19</v>
      </c>
      <c r="I137" s="1" t="s">
        <v>20</v>
      </c>
      <c r="J137" s="1" t="s">
        <v>634</v>
      </c>
      <c r="K137" s="1" t="s">
        <v>22</v>
      </c>
      <c r="L137" s="1" t="str">
        <f>HYPERLINK("https://files.afu.se/Downloads/Transcripts/0%20-%20Government/USA%20-%20NASA%20Kennedy/2021 07 16 - NASA's Kennedy Space Center - Inside KSC! for July 16, 2021_n4wAG0JH-10 - transcript (automated).pdf","Transcript Link")</f>
        <v>Transcript Link</v>
      </c>
      <c r="M137" s="2" t="str">
        <f>HYPERLINK("https://files.afu.se/Downloads/Transcripts/0%20-%20Government/USA%20-%20NASA%20Kennedy/2021 07 16 - NASA's Kennedy Space Center - Inside KSC! for July 16, 2021_n4wAG0JH-10 - transcript (automated).pdf","Transcript Link")</f>
        <v>Transcript Link</v>
      </c>
    </row>
    <row r="138" ht="409.5" spans="1:13">
      <c r="A138" s="1" t="s">
        <v>635</v>
      </c>
      <c r="B138" s="1" t="s">
        <v>13</v>
      </c>
      <c r="C138" s="4" t="s">
        <v>636</v>
      </c>
      <c r="D138" s="1" t="s">
        <v>637</v>
      </c>
      <c r="E138" s="1" t="s">
        <v>638</v>
      </c>
      <c r="F138" s="4" t="s">
        <v>17</v>
      </c>
      <c r="G138" s="1" t="s">
        <v>18</v>
      </c>
      <c r="H138" s="1" t="s">
        <v>19</v>
      </c>
      <c r="I138" s="1" t="s">
        <v>20</v>
      </c>
      <c r="J138" s="1" t="s">
        <v>639</v>
      </c>
      <c r="K138" s="1" t="s">
        <v>22</v>
      </c>
      <c r="L138" s="1" t="str">
        <f>HYPERLINK("https://files.afu.se/Downloads/Transcripts/0%20-%20Government/USA%20-%20NASA%20Kennedy/2021 07 13 - NASA's Kennedy Space Center - Space is Spicier  Peppers Growing on Station_F3_1xgCbORs - transcript (automated).pdf","Transcript Link")</f>
        <v>Transcript Link</v>
      </c>
      <c r="M138" s="2" t="str">
        <f>HYPERLINK("https://files.afu.se/Downloads/Transcripts/0%20-%20Government/USA%20-%20NASA%20Kennedy/2021 07 13 - NASA's Kennedy Space Center - Space is Spicier  Peppers Growing on Station_F3_1xgCbORs - transcript (automated).pdf","Transcript Link")</f>
        <v>Transcript Link</v>
      </c>
    </row>
    <row r="139" ht="180" spans="1:13">
      <c r="A139" s="1" t="s">
        <v>640</v>
      </c>
      <c r="B139" s="1" t="s">
        <v>13</v>
      </c>
      <c r="C139" s="4" t="s">
        <v>641</v>
      </c>
      <c r="D139" s="1" t="s">
        <v>642</v>
      </c>
      <c r="E139" s="1" t="s">
        <v>643</v>
      </c>
      <c r="F139" s="4" t="s">
        <v>17</v>
      </c>
      <c r="G139" s="1" t="s">
        <v>18</v>
      </c>
      <c r="H139" s="1" t="s">
        <v>19</v>
      </c>
      <c r="I139" s="1" t="s">
        <v>20</v>
      </c>
      <c r="J139" s="1" t="s">
        <v>644</v>
      </c>
      <c r="K139" s="1" t="s">
        <v>22</v>
      </c>
      <c r="L139" s="1" t="str">
        <f>HYPERLINK("https://files.afu.se/Downloads/Transcripts/0%20-%20Government/USA%20-%20NASA%20Kennedy/2021 07 09 - NASA's Kennedy Space Center - Inside KSC! for July 9, 2021_V3hoqpLACzk - transcript (automated).pdf","Transcript Link")</f>
        <v>Transcript Link</v>
      </c>
      <c r="M139" s="2" t="str">
        <f>HYPERLINK("https://files.afu.se/Downloads/Transcripts/0%20-%20Government/USA%20-%20NASA%20Kennedy/2021 07 09 - NASA's Kennedy Space Center - Inside KSC! for July 9, 2021_V3hoqpLACzk - transcript (automated).pdf","Transcript Link")</f>
        <v>Transcript Link</v>
      </c>
    </row>
    <row r="140" ht="180" spans="1:13">
      <c r="A140" s="1" t="s">
        <v>645</v>
      </c>
      <c r="B140" s="1" t="s">
        <v>13</v>
      </c>
      <c r="C140" s="4" t="s">
        <v>646</v>
      </c>
      <c r="D140" s="1" t="s">
        <v>647</v>
      </c>
      <c r="E140" s="1" t="s">
        <v>648</v>
      </c>
      <c r="F140" s="4" t="s">
        <v>17</v>
      </c>
      <c r="G140" s="1" t="s">
        <v>18</v>
      </c>
      <c r="H140" s="1" t="s">
        <v>19</v>
      </c>
      <c r="I140" s="1" t="s">
        <v>20</v>
      </c>
      <c r="J140" s="1" t="s">
        <v>649</v>
      </c>
      <c r="K140" s="1" t="s">
        <v>22</v>
      </c>
      <c r="L140" s="1" t="str">
        <f>HYPERLINK("https://files.afu.se/Downloads/Transcripts/0%20-%20Government/USA%20-%20NASA%20Kennedy/2021 07 02 - NASA's Kennedy Space Center - Inside KSC! for July 2, 2021_BTGSb_vhHpA - transcript (automated).pdf","Transcript Link")</f>
        <v>Transcript Link</v>
      </c>
      <c r="M140" s="2" t="str">
        <f>HYPERLINK("https://files.afu.se/Downloads/Transcripts/0%20-%20Government/USA%20-%20NASA%20Kennedy/2021 07 02 - NASA's Kennedy Space Center - Inside KSC! for July 2, 2021_BTGSb_vhHpA - transcript (automated).pdf","Transcript Link")</f>
        <v>Transcript Link</v>
      </c>
    </row>
    <row r="141" ht="180" spans="1:13">
      <c r="A141" s="1" t="s">
        <v>650</v>
      </c>
      <c r="B141" s="1" t="s">
        <v>13</v>
      </c>
      <c r="C141" s="4" t="s">
        <v>651</v>
      </c>
      <c r="D141" s="1" t="s">
        <v>652</v>
      </c>
      <c r="E141" s="1" t="s">
        <v>653</v>
      </c>
      <c r="F141" s="4" t="s">
        <v>17</v>
      </c>
      <c r="G141" s="1" t="s">
        <v>18</v>
      </c>
      <c r="H141" s="1" t="s">
        <v>19</v>
      </c>
      <c r="I141" s="1" t="s">
        <v>20</v>
      </c>
      <c r="J141" s="1" t="s">
        <v>654</v>
      </c>
      <c r="K141" s="1" t="s">
        <v>22</v>
      </c>
      <c r="L141" s="1" t="str">
        <f>HYPERLINK("https://files.afu.se/Downloads/Transcripts/0%20-%20Government/USA%20-%20NASA%20Kennedy/2021 06 30 - NASA's Kennedy Space Center - A 360 Look at the Artemis I launch vehicle stage adapter lift_g7vi6AVVdu8 - transcript (automated).pdf","Transcript Link")</f>
        <v>Transcript Link</v>
      </c>
      <c r="M141" s="2" t="str">
        <f>HYPERLINK("https://files.afu.se/Downloads/Transcripts/0%20-%20Government/USA%20-%20NASA%20Kennedy/2021 06 30 - NASA's Kennedy Space Center - A 360 Look at the Artemis I launch vehicle stage adapter lift_g7vi6AVVdu8 - transcript (automated).pdf","Transcript Link")</f>
        <v>Transcript Link</v>
      </c>
    </row>
    <row r="142" ht="180" spans="1:13">
      <c r="A142" s="1" t="s">
        <v>655</v>
      </c>
      <c r="B142" s="1" t="s">
        <v>13</v>
      </c>
      <c r="C142" s="4" t="s">
        <v>656</v>
      </c>
      <c r="D142" s="1" t="s">
        <v>657</v>
      </c>
      <c r="E142" s="1" t="s">
        <v>658</v>
      </c>
      <c r="F142" s="4" t="s">
        <v>17</v>
      </c>
      <c r="G142" s="1" t="s">
        <v>18</v>
      </c>
      <c r="H142" s="1" t="s">
        <v>19</v>
      </c>
      <c r="I142" s="1" t="s">
        <v>20</v>
      </c>
      <c r="J142" s="1" t="s">
        <v>659</v>
      </c>
      <c r="K142" s="1" t="s">
        <v>22</v>
      </c>
      <c r="L142" s="1" t="str">
        <f>HYPERLINK("https://files.afu.se/Downloads/Transcripts/0%20-%20Government/USA%20-%20NASA%20Kennedy/2021 06 28 - NASA's Kennedy Space Center - 2021 Community Leaders Update_3wUR9CDiBBc - transcript (automated).pdf","Transcript Link")</f>
        <v>Transcript Link</v>
      </c>
      <c r="M142" s="2" t="str">
        <f>HYPERLINK("https://files.afu.se/Downloads/Transcripts/0%20-%20Government/USA%20-%20NASA%20Kennedy/2021 06 28 - NASA's Kennedy Space Center - 2021 Community Leaders Update_3wUR9CDiBBc - transcript (automated).pdf","Transcript Link")</f>
        <v>Transcript Link</v>
      </c>
    </row>
    <row r="143" ht="180" spans="1:13">
      <c r="A143" s="1" t="s">
        <v>660</v>
      </c>
      <c r="B143" s="1" t="s">
        <v>13</v>
      </c>
      <c r="C143" s="4" t="s">
        <v>661</v>
      </c>
      <c r="D143" s="1" t="s">
        <v>662</v>
      </c>
      <c r="E143" s="1" t="s">
        <v>663</v>
      </c>
      <c r="F143" s="4" t="s">
        <v>17</v>
      </c>
      <c r="G143" s="1" t="s">
        <v>18</v>
      </c>
      <c r="H143" s="1" t="s">
        <v>19</v>
      </c>
      <c r="I143" s="1" t="s">
        <v>20</v>
      </c>
      <c r="J143" s="1" t="s">
        <v>664</v>
      </c>
      <c r="K143" s="1" t="s">
        <v>22</v>
      </c>
      <c r="L143" s="1" t="str">
        <f>HYPERLINK("https://files.afu.se/Downloads/Transcripts/0%20-%20Government/USA%20-%20NASA%20Kennedy/2021 06 25 - NASA's Kennedy Space Center - Inside KSC! for June 25, 2021_lbl50JJyf7A - transcript (automated).pdf","Transcript Link")</f>
        <v>Transcript Link</v>
      </c>
      <c r="M143" s="2" t="str">
        <f>HYPERLINK("https://files.afu.se/Downloads/Transcripts/0%20-%20Government/USA%20-%20NASA%20Kennedy/2021 06 25 - NASA's Kennedy Space Center - Inside KSC! for June 25, 2021_lbl50JJyf7A - transcript (automated).pdf","Transcript Link")</f>
        <v>Transcript Link</v>
      </c>
    </row>
    <row r="144" ht="180" spans="1:13">
      <c r="A144" s="1" t="s">
        <v>665</v>
      </c>
      <c r="B144" s="1" t="s">
        <v>13</v>
      </c>
      <c r="C144" s="4" t="s">
        <v>666</v>
      </c>
      <c r="D144" s="1" t="s">
        <v>667</v>
      </c>
      <c r="E144" s="1" t="s">
        <v>668</v>
      </c>
      <c r="F144" s="4" t="s">
        <v>17</v>
      </c>
      <c r="G144" s="1" t="s">
        <v>18</v>
      </c>
      <c r="H144" s="1" t="s">
        <v>19</v>
      </c>
      <c r="I144" s="1" t="s">
        <v>20</v>
      </c>
      <c r="J144" s="1" t="s">
        <v>669</v>
      </c>
      <c r="K144" s="1" t="s">
        <v>22</v>
      </c>
      <c r="L144" s="1" t="str">
        <f>HYPERLINK("https://files.afu.se/Downloads/Transcripts/0%20-%20Government/USA%20-%20NASA%20Kennedy/2021 06 21 - NASA's Kennedy Space Center - Artemis I Core Stage Activities at Kennedy_ndb9Y_bREKg - transcript (automated).pdf","Transcript Link")</f>
        <v>Transcript Link</v>
      </c>
      <c r="M144" s="2" t="str">
        <f>HYPERLINK("https://files.afu.se/Downloads/Transcripts/0%20-%20Government/USA%20-%20NASA%20Kennedy/2021 06 21 - NASA's Kennedy Space Center - Artemis I Core Stage Activities at Kennedy_ndb9Y_bREKg - transcript (automated).pdf","Transcript Link")</f>
        <v>Transcript Link</v>
      </c>
    </row>
    <row r="145" ht="180" spans="1:13">
      <c r="A145" s="1" t="s">
        <v>670</v>
      </c>
      <c r="B145" s="1" t="s">
        <v>13</v>
      </c>
      <c r="C145" s="4" t="s">
        <v>671</v>
      </c>
      <c r="D145" s="1" t="s">
        <v>672</v>
      </c>
      <c r="E145" s="1" t="s">
        <v>673</v>
      </c>
      <c r="F145" s="4" t="s">
        <v>17</v>
      </c>
      <c r="G145" s="1" t="s">
        <v>18</v>
      </c>
      <c r="H145" s="1" t="s">
        <v>19</v>
      </c>
      <c r="I145" s="1" t="s">
        <v>20</v>
      </c>
      <c r="J145" s="1" t="s">
        <v>674</v>
      </c>
      <c r="K145" s="1" t="s">
        <v>22</v>
      </c>
      <c r="L145" s="1" t="str">
        <f>HYPERLINK("https://files.afu.se/Downloads/Transcripts/0%20-%20Government/USA%20-%20NASA%20Kennedy/2021 06 18 - NASA's Kennedy Space Center - Inside KSC! for June 18, 2021_2y2gW-_curw - transcript (automated).pdf","Transcript Link")</f>
        <v>Transcript Link</v>
      </c>
      <c r="M145" s="2" t="str">
        <f>HYPERLINK("https://files.afu.se/Downloads/Transcripts/0%20-%20Government/USA%20-%20NASA%20Kennedy/2021 06 18 - NASA's Kennedy Space Center - Inside KSC! for June 18, 2021_2y2gW-_curw - transcript (automated).pdf","Transcript Link")</f>
        <v>Transcript Link</v>
      </c>
    </row>
    <row r="146" ht="180" spans="1:13">
      <c r="A146" s="1" t="s">
        <v>670</v>
      </c>
      <c r="B146" s="1" t="s">
        <v>13</v>
      </c>
      <c r="C146" s="4" t="s">
        <v>675</v>
      </c>
      <c r="D146" s="1" t="s">
        <v>676</v>
      </c>
      <c r="E146" s="1" t="s">
        <v>677</v>
      </c>
      <c r="F146" s="4" t="s">
        <v>17</v>
      </c>
      <c r="G146" s="1" t="s">
        <v>18</v>
      </c>
      <c r="H146" s="1" t="s">
        <v>19</v>
      </c>
      <c r="I146" s="1" t="s">
        <v>20</v>
      </c>
      <c r="J146" s="1" t="s">
        <v>678</v>
      </c>
      <c r="K146" s="1" t="s">
        <v>22</v>
      </c>
      <c r="L146" s="1" t="str">
        <f>HYPERLINK("https://files.afu.se/Downloads/Transcripts/0%20-%20Government/USA%20-%20NASA%20Kennedy/2021 06 18 - NASA's Kennedy Space Center - NASA's ELaNa XX  Small Satellites with Big Goals_TJbsoIKwkTg - transcript (automated).pdf","Transcript Link")</f>
        <v>Transcript Link</v>
      </c>
      <c r="M146" s="2" t="str">
        <f>HYPERLINK("https://files.afu.se/Downloads/Transcripts/0%20-%20Government/USA%20-%20NASA%20Kennedy/2021 06 18 - NASA's Kennedy Space Center - NASA's ELaNa XX  Small Satellites with Big Goals_TJbsoIKwkTg - transcript (automated).pdf","Transcript Link")</f>
        <v>Transcript Link</v>
      </c>
    </row>
    <row r="147" ht="180" spans="1:13">
      <c r="A147" s="1" t="s">
        <v>679</v>
      </c>
      <c r="B147" s="1" t="s">
        <v>13</v>
      </c>
      <c r="C147" s="4" t="s">
        <v>680</v>
      </c>
      <c r="D147" s="1" t="s">
        <v>681</v>
      </c>
      <c r="E147" s="1" t="s">
        <v>682</v>
      </c>
      <c r="F147" s="4" t="s">
        <v>17</v>
      </c>
      <c r="G147" s="1" t="s">
        <v>18</v>
      </c>
      <c r="H147" s="1" t="s">
        <v>19</v>
      </c>
      <c r="I147" s="1" t="s">
        <v>20</v>
      </c>
      <c r="J147" s="1" t="s">
        <v>683</v>
      </c>
      <c r="K147" s="1" t="s">
        <v>22</v>
      </c>
      <c r="L147" s="1" t="str">
        <f>HYPERLINK("https://files.afu.se/Downloads/Transcripts/0%20-%20Government/USA%20-%20NASA%20Kennedy/2021 06 17 - NASA's Kennedy Space Center - A 360 Look at the Artemis I Core Stage Lift and Mate_-sjn5jDpDjg - transcript (automated).pdf","Transcript Link")</f>
        <v>Transcript Link</v>
      </c>
      <c r="M147" s="2" t="str">
        <f>HYPERLINK("https://files.afu.se/Downloads/Transcripts/0%20-%20Government/USA%20-%20NASA%20Kennedy/2021 06 17 - NASA's Kennedy Space Center - A 360 Look at the Artemis I Core Stage Lift and Mate_-sjn5jDpDjg - transcript (automated).pdf","Transcript Link")</f>
        <v>Transcript Link</v>
      </c>
    </row>
    <row r="148" ht="180" spans="1:13">
      <c r="A148" s="1" t="s">
        <v>684</v>
      </c>
      <c r="B148" s="1" t="s">
        <v>13</v>
      </c>
      <c r="C148" s="4" t="s">
        <v>685</v>
      </c>
      <c r="D148" s="1" t="s">
        <v>686</v>
      </c>
      <c r="E148" s="1" t="s">
        <v>687</v>
      </c>
      <c r="F148" s="4" t="s">
        <v>17</v>
      </c>
      <c r="G148" s="1" t="s">
        <v>18</v>
      </c>
      <c r="H148" s="1" t="s">
        <v>19</v>
      </c>
      <c r="I148" s="1" t="s">
        <v>20</v>
      </c>
      <c r="J148" s="1" t="s">
        <v>688</v>
      </c>
      <c r="K148" s="1" t="s">
        <v>22</v>
      </c>
      <c r="L148" s="1" t="str">
        <f>HYPERLINK("https://files.afu.se/Downloads/Transcripts/0%20-%20Government/USA%20-%20NASA%20Kennedy/2021 06 14 - NASA's Kennedy Space Center - Time-lapse of Core Stage Stacking for the Artemis I Mission_5n8AY-k-Su4 - transcript (automated).pdf","Transcript Link")</f>
        <v>Transcript Link</v>
      </c>
      <c r="M148" s="2" t="str">
        <f>HYPERLINK("https://files.afu.se/Downloads/Transcripts/0%20-%20Government/USA%20-%20NASA%20Kennedy/2021 06 14 - NASA's Kennedy Space Center - Time-lapse of Core Stage Stacking for the Artemis I Mission_5n8AY-k-Su4 - transcript (automated).pdf","Transcript Link")</f>
        <v>Transcript Link</v>
      </c>
    </row>
    <row r="149" ht="180" spans="1:13">
      <c r="A149" s="1" t="s">
        <v>689</v>
      </c>
      <c r="B149" s="1" t="s">
        <v>13</v>
      </c>
      <c r="C149" s="4" t="s">
        <v>690</v>
      </c>
      <c r="D149" s="1" t="s">
        <v>691</v>
      </c>
      <c r="E149" s="1" t="s">
        <v>692</v>
      </c>
      <c r="F149" s="4" t="s">
        <v>17</v>
      </c>
      <c r="G149" s="1" t="s">
        <v>18</v>
      </c>
      <c r="H149" s="1" t="s">
        <v>19</v>
      </c>
      <c r="I149" s="1" t="s">
        <v>20</v>
      </c>
      <c r="J149" s="1" t="s">
        <v>693</v>
      </c>
      <c r="K149" s="1" t="s">
        <v>22</v>
      </c>
      <c r="L149" s="1" t="str">
        <f>HYPERLINK("https://files.afu.se/Downloads/Transcripts/0%20-%20Government/USA%20-%20NASA%20Kennedy/2021 06 11 - NASA's Kennedy Space Center - Inside KSC! for June 11, 2021_pT7HBU8_G0I - transcript (automated).pdf","Transcript Link")</f>
        <v>Transcript Link</v>
      </c>
      <c r="M149" s="2" t="str">
        <f>HYPERLINK("https://files.afu.se/Downloads/Transcripts/0%20-%20Government/USA%20-%20NASA%20Kennedy/2021 06 11 - NASA's Kennedy Space Center - Inside KSC! for June 11, 2021_pT7HBU8_G0I - transcript (automated).pdf","Transcript Link")</f>
        <v>Transcript Link</v>
      </c>
    </row>
    <row r="150" ht="195" spans="1:13">
      <c r="A150" s="1" t="s">
        <v>694</v>
      </c>
      <c r="B150" s="1" t="s">
        <v>13</v>
      </c>
      <c r="C150" s="4" t="s">
        <v>695</v>
      </c>
      <c r="D150" s="1" t="s">
        <v>696</v>
      </c>
      <c r="E150" s="1" t="s">
        <v>697</v>
      </c>
      <c r="F150" s="4" t="s">
        <v>17</v>
      </c>
      <c r="G150" s="1" t="s">
        <v>18</v>
      </c>
      <c r="H150" s="1" t="s">
        <v>19</v>
      </c>
      <c r="I150" s="1" t="s">
        <v>20</v>
      </c>
      <c r="J150" s="1" t="s">
        <v>698</v>
      </c>
      <c r="K150" s="1" t="s">
        <v>22</v>
      </c>
      <c r="L150" s="1" t="str">
        <f>HYPERLINK("https://files.afu.se/Downloads/Transcripts/0%20-%20Government/USA%20-%20NASA%20Kennedy/2021 06 04 - NASA's Kennedy Space Center - Inside KSC! for June 4, 2021_OwdbAzEeUDY - transcript (automated).pdf","Transcript Link")</f>
        <v>Transcript Link</v>
      </c>
      <c r="M150" s="2" t="str">
        <f>HYPERLINK("https://files.afu.se/Downloads/Transcripts/0%20-%20Government/USA%20-%20NASA%20Kennedy/2021 06 04 - NASA's Kennedy Space Center - Inside KSC! for June 4, 2021_OwdbAzEeUDY - transcript (automated).pdf","Transcript Link")</f>
        <v>Transcript Link</v>
      </c>
    </row>
    <row r="151" ht="180" spans="1:13">
      <c r="A151" s="1" t="s">
        <v>699</v>
      </c>
      <c r="B151" s="1" t="s">
        <v>13</v>
      </c>
      <c r="C151" s="4" t="s">
        <v>700</v>
      </c>
      <c r="D151" s="1" t="s">
        <v>701</v>
      </c>
      <c r="E151" s="1" t="s">
        <v>702</v>
      </c>
      <c r="F151" s="4" t="s">
        <v>17</v>
      </c>
      <c r="G151" s="1" t="s">
        <v>18</v>
      </c>
      <c r="H151" s="1" t="s">
        <v>19</v>
      </c>
      <c r="I151" s="1" t="s">
        <v>20</v>
      </c>
      <c r="J151" s="1" t="s">
        <v>703</v>
      </c>
      <c r="K151" s="1" t="s">
        <v>22</v>
      </c>
      <c r="L151" s="1" t="str">
        <f>HYPERLINK("https://files.afu.se/Downloads/Transcripts/0%20-%20Government/USA%20-%20NASA%20Kennedy/2021 06 03 - NASA's Kennedy Space Center - SpaceX CRS-22  Falcon 9 First Stage Lands on Droneship_YijM6IkuasE - transcript (automated).pdf","Transcript Link")</f>
        <v>Transcript Link</v>
      </c>
      <c r="M151" s="2" t="str">
        <f>HYPERLINK("https://files.afu.se/Downloads/Transcripts/0%20-%20Government/USA%20-%20NASA%20Kennedy/2021 06 03 - NASA's Kennedy Space Center - SpaceX CRS-22  Falcon 9 First Stage Lands on Droneship_YijM6IkuasE - transcript (automated).pdf","Transcript Link")</f>
        <v>Transcript Link</v>
      </c>
    </row>
    <row r="152" ht="180" spans="1:13">
      <c r="A152" s="1" t="s">
        <v>699</v>
      </c>
      <c r="B152" s="1" t="s">
        <v>13</v>
      </c>
      <c r="C152" s="4" t="s">
        <v>704</v>
      </c>
      <c r="D152" s="1" t="s">
        <v>705</v>
      </c>
      <c r="E152" s="1" t="s">
        <v>706</v>
      </c>
      <c r="F152" s="4" t="s">
        <v>17</v>
      </c>
      <c r="G152" s="1" t="s">
        <v>18</v>
      </c>
      <c r="H152" s="1" t="s">
        <v>19</v>
      </c>
      <c r="I152" s="1" t="s">
        <v>20</v>
      </c>
      <c r="J152" s="1" t="s">
        <v>707</v>
      </c>
      <c r="K152" s="1" t="s">
        <v>22</v>
      </c>
      <c r="L152" s="1" t="str">
        <f>HYPERLINK("https://files.afu.se/Downloads/Transcripts/0%20-%20Government/USA%20-%20NASA%20Kennedy/2021 06 03 - NASA's Kennedy Space Center - SpaceX CRS-22  Dragon Spacecraft Separation_eDnZT06Sqfs - transcript (automated).pdf","Transcript Link")</f>
        <v>Transcript Link</v>
      </c>
      <c r="M152" s="2" t="str">
        <f>HYPERLINK("https://files.afu.se/Downloads/Transcripts/0%20-%20Government/USA%20-%20NASA%20Kennedy/2021 06 03 - NASA's Kennedy Space Center - SpaceX CRS-22  Dragon Spacecraft Separation_eDnZT06Sqfs - transcript (automated).pdf","Transcript Link")</f>
        <v>Transcript Link</v>
      </c>
    </row>
    <row r="153" ht="180" spans="1:13">
      <c r="A153" s="1" t="s">
        <v>699</v>
      </c>
      <c r="B153" s="1" t="s">
        <v>13</v>
      </c>
      <c r="C153" s="4" t="s">
        <v>708</v>
      </c>
      <c r="D153" s="1" t="s">
        <v>709</v>
      </c>
      <c r="E153" s="1" t="s">
        <v>710</v>
      </c>
      <c r="F153" s="4" t="s">
        <v>17</v>
      </c>
      <c r="G153" s="1" t="s">
        <v>18</v>
      </c>
      <c r="H153" s="1" t="s">
        <v>19</v>
      </c>
      <c r="I153" s="1" t="s">
        <v>20</v>
      </c>
      <c r="J153" s="1" t="s">
        <v>711</v>
      </c>
      <c r="K153" s="1" t="s">
        <v>22</v>
      </c>
      <c r="L153" s="1" t="str">
        <f>HYPERLINK("https://files.afu.se/Downloads/Transcripts/0%20-%20Government/USA%20-%20NASA%20Kennedy/2021 06 03 - NASA's Kennedy Space Center - SpaceX CRS-22 Launch  Liftoff_deKkd6EKolo - transcript (automated).pdf","Transcript Link")</f>
        <v>Transcript Link</v>
      </c>
      <c r="M153" s="2" t="str">
        <f>HYPERLINK("https://files.afu.se/Downloads/Transcripts/0%20-%20Government/USA%20-%20NASA%20Kennedy/2021 06 03 - NASA's Kennedy Space Center - SpaceX CRS-22 Launch  Liftoff_deKkd6EKolo - transcript (automated).pdf","Transcript Link")</f>
        <v>Transcript Link</v>
      </c>
    </row>
    <row r="154" ht="180" spans="1:13">
      <c r="A154" s="1" t="s">
        <v>699</v>
      </c>
      <c r="B154" s="1" t="s">
        <v>13</v>
      </c>
      <c r="C154" s="4" t="s">
        <v>712</v>
      </c>
      <c r="D154" s="1" t="s">
        <v>713</v>
      </c>
      <c r="E154" s="1" t="s">
        <v>714</v>
      </c>
      <c r="F154" s="4" t="s">
        <v>17</v>
      </c>
      <c r="G154" s="1" t="s">
        <v>18</v>
      </c>
      <c r="H154" s="1" t="s">
        <v>19</v>
      </c>
      <c r="I154" s="1" t="s">
        <v>20</v>
      </c>
      <c r="J154" s="1" t="s">
        <v>715</v>
      </c>
      <c r="K154" s="1" t="s">
        <v>22</v>
      </c>
      <c r="L154" s="1" t="str">
        <f>HYPERLINK("https://files.afu.se/Downloads/Transcripts/0%20-%20Government/USA%20-%20NASA%20Kennedy/2021 06 03 - NASA's Kennedy Space Center - SpaceX CRS-22 Broadcast Begins at NASA's Kennedy Space Center_ghjGp-_-tQo - transcript (automated).pdf","Transcript Link")</f>
        <v>Transcript Link</v>
      </c>
      <c r="M154" s="2" t="str">
        <f>HYPERLINK("https://files.afu.se/Downloads/Transcripts/0%20-%20Government/USA%20-%20NASA%20Kennedy/2021 06 03 - NASA's Kennedy Space Center - SpaceX CRS-22 Broadcast Begins at NASA's Kennedy Space Center_ghjGp-_-tQo - transcript (automated).pdf","Transcript Link")</f>
        <v>Transcript Link</v>
      </c>
    </row>
    <row r="155" ht="180" spans="1:13">
      <c r="A155" s="1" t="s">
        <v>716</v>
      </c>
      <c r="B155" s="1" t="s">
        <v>13</v>
      </c>
      <c r="C155" s="4" t="s">
        <v>717</v>
      </c>
      <c r="D155" s="1" t="s">
        <v>718</v>
      </c>
      <c r="E155" s="1" t="s">
        <v>719</v>
      </c>
      <c r="F155" s="4" t="s">
        <v>17</v>
      </c>
      <c r="G155" s="1" t="s">
        <v>18</v>
      </c>
      <c r="H155" s="1" t="s">
        <v>19</v>
      </c>
      <c r="I155" s="1" t="s">
        <v>20</v>
      </c>
      <c r="J155" s="1" t="s">
        <v>720</v>
      </c>
      <c r="K155" s="1" t="s">
        <v>22</v>
      </c>
      <c r="L155" s="1" t="str">
        <f>HYPERLINK("https://files.afu.se/Downloads/Transcripts/0%20-%20Government/USA%20-%20NASA%20Kennedy/2021 05 28 - NASA's Kennedy Space Center - Inside KSC! for May 28, 2021_v1udH-w7TRo - transcript (automated).pdf","Transcript Link")</f>
        <v>Transcript Link</v>
      </c>
      <c r="M155" s="2" t="str">
        <f>HYPERLINK("https://files.afu.se/Downloads/Transcripts/0%20-%20Government/USA%20-%20NASA%20Kennedy/2021 05 28 - NASA's Kennedy Space Center - Inside KSC! for May 28, 2021_v1udH-w7TRo - transcript (automated).pdf","Transcript Link")</f>
        <v>Transcript Link</v>
      </c>
    </row>
    <row r="156" ht="180" spans="1:13">
      <c r="A156" s="1" t="s">
        <v>721</v>
      </c>
      <c r="B156" s="1" t="s">
        <v>13</v>
      </c>
      <c r="C156" s="4" t="s">
        <v>722</v>
      </c>
      <c r="D156" s="1" t="s">
        <v>723</v>
      </c>
      <c r="E156" s="1" t="s">
        <v>724</v>
      </c>
      <c r="F156" s="4" t="s">
        <v>17</v>
      </c>
      <c r="G156" s="1" t="s">
        <v>18</v>
      </c>
      <c r="H156" s="1" t="s">
        <v>19</v>
      </c>
      <c r="I156" s="1" t="s">
        <v>20</v>
      </c>
      <c r="J156" s="1" t="s">
        <v>725</v>
      </c>
      <c r="K156" s="1" t="s">
        <v>22</v>
      </c>
      <c r="L156" s="1" t="str">
        <f>HYPERLINK("https://files.afu.se/Downloads/Transcripts/0%20-%20Government/USA%20-%20NASA%20Kennedy/2021 05 21 - NASA's Kennedy Space Center - Inside KSC! for May 21, 2021_E8Z7oOKW-68 - transcript (automated).pdf","Transcript Link")</f>
        <v>Transcript Link</v>
      </c>
      <c r="M156" s="2" t="str">
        <f>HYPERLINK("https://files.afu.se/Downloads/Transcripts/0%20-%20Government/USA%20-%20NASA%20Kennedy/2021 05 21 - NASA's Kennedy Space Center - Inside KSC! for May 21, 2021_E8Z7oOKW-68 - transcript (automated).pdf","Transcript Link")</f>
        <v>Transcript Link</v>
      </c>
    </row>
    <row r="157" ht="180" spans="1:13">
      <c r="A157" s="1" t="s">
        <v>726</v>
      </c>
      <c r="B157" s="1" t="s">
        <v>13</v>
      </c>
      <c r="C157" s="4" t="s">
        <v>727</v>
      </c>
      <c r="D157" s="1" t="s">
        <v>728</v>
      </c>
      <c r="E157" s="1" t="s">
        <v>729</v>
      </c>
      <c r="F157" s="4" t="s">
        <v>17</v>
      </c>
      <c r="G157" s="1" t="s">
        <v>18</v>
      </c>
      <c r="H157" s="1" t="s">
        <v>19</v>
      </c>
      <c r="I157" s="1" t="s">
        <v>20</v>
      </c>
      <c r="J157" s="1" t="s">
        <v>730</v>
      </c>
      <c r="K157" s="1" t="s">
        <v>22</v>
      </c>
      <c r="L157" s="1" t="str">
        <f>HYPERLINK("https://files.afu.se/Downloads/Transcripts/0%20-%20Government/USA%20-%20NASA%20Kennedy/2021 05 14 - NASA's Kennedy Space Center - Inside KSC! for May 14, 2021_VfE5I8BLZdk - transcript (automated).pdf","Transcript Link")</f>
        <v>Transcript Link</v>
      </c>
      <c r="M157" s="2" t="str">
        <f>HYPERLINK("https://files.afu.se/Downloads/Transcripts/0%20-%20Government/USA%20-%20NASA%20Kennedy/2021 05 14 - NASA's Kennedy Space Center - Inside KSC! for May 14, 2021_VfE5I8BLZdk - transcript (automated).pdf","Transcript Link")</f>
        <v>Transcript Link</v>
      </c>
    </row>
    <row r="158" ht="180" spans="1:13">
      <c r="A158" s="1" t="s">
        <v>731</v>
      </c>
      <c r="B158" s="1" t="s">
        <v>13</v>
      </c>
      <c r="C158" s="4" t="s">
        <v>732</v>
      </c>
      <c r="D158" s="1" t="s">
        <v>733</v>
      </c>
      <c r="E158" s="1" t="s">
        <v>734</v>
      </c>
      <c r="F158" s="4" t="s">
        <v>17</v>
      </c>
      <c r="G158" s="1" t="s">
        <v>18</v>
      </c>
      <c r="H158" s="1" t="s">
        <v>19</v>
      </c>
      <c r="I158" s="1" t="s">
        <v>20</v>
      </c>
      <c r="J158" s="1" t="s">
        <v>735</v>
      </c>
      <c r="K158" s="1" t="s">
        <v>22</v>
      </c>
      <c r="L158" s="1" t="str">
        <f>HYPERLINK("https://files.afu.se/Downloads/Transcripts/0%20-%20Government/USA%20-%20NASA%20Kennedy/2021 05 07 - NASA's Kennedy Space Center - Inside KSC! for May 7, 2021_gWA1hozu_Nk - transcript (automated).pdf","Transcript Link")</f>
        <v>Transcript Link</v>
      </c>
      <c r="M158" s="2" t="str">
        <f>HYPERLINK("https://files.afu.se/Downloads/Transcripts/0%20-%20Government/USA%20-%20NASA%20Kennedy/2021 05 07 - NASA's Kennedy Space Center - Inside KSC! for May 7, 2021_gWA1hozu_Nk - transcript (automated).pdf","Transcript Link")</f>
        <v>Transcript Link</v>
      </c>
    </row>
    <row r="159" ht="180" spans="1:13">
      <c r="A159" s="1" t="s">
        <v>736</v>
      </c>
      <c r="B159" s="1" t="s">
        <v>13</v>
      </c>
      <c r="C159" s="4" t="s">
        <v>737</v>
      </c>
      <c r="D159" s="1" t="s">
        <v>738</v>
      </c>
      <c r="E159" s="1" t="s">
        <v>739</v>
      </c>
      <c r="F159" s="4" t="s">
        <v>17</v>
      </c>
      <c r="G159" s="1" t="s">
        <v>18</v>
      </c>
      <c r="H159" s="1" t="s">
        <v>19</v>
      </c>
      <c r="I159" s="1" t="s">
        <v>20</v>
      </c>
      <c r="J159" s="1" t="s">
        <v>740</v>
      </c>
      <c r="K159" s="1" t="s">
        <v>22</v>
      </c>
      <c r="L159" s="1" t="str">
        <f>HYPERLINK("https://files.afu.se/Downloads/Transcripts/0%20-%20Government/USA%20-%20NASA%20Kennedy/2021 04 30 - NASA's Kennedy Space Center - Inside KSC! for April 30, 2021_iqapIyJBiWo - transcript (automated).pdf","Transcript Link")</f>
        <v>Transcript Link</v>
      </c>
      <c r="M159" s="2" t="str">
        <f>HYPERLINK("https://files.afu.se/Downloads/Transcripts/0%20-%20Government/USA%20-%20NASA%20Kennedy/2021 04 30 - NASA's Kennedy Space Center - Inside KSC! for April 30, 2021_iqapIyJBiWo - transcript (automated).pdf","Transcript Link")</f>
        <v>Transcript Link</v>
      </c>
    </row>
    <row r="160" ht="180" spans="1:13">
      <c r="A160" s="1" t="s">
        <v>741</v>
      </c>
      <c r="B160" s="1" t="s">
        <v>13</v>
      </c>
      <c r="C160" s="4" t="s">
        <v>742</v>
      </c>
      <c r="D160" s="1" t="s">
        <v>743</v>
      </c>
      <c r="E160" s="1" t="s">
        <v>744</v>
      </c>
      <c r="F160" s="4" t="s">
        <v>17</v>
      </c>
      <c r="G160" s="1" t="s">
        <v>18</v>
      </c>
      <c r="H160" s="1" t="s">
        <v>19</v>
      </c>
      <c r="I160" s="1" t="s">
        <v>20</v>
      </c>
      <c r="J160" s="1" t="s">
        <v>745</v>
      </c>
      <c r="K160" s="1" t="s">
        <v>22</v>
      </c>
      <c r="L160" s="1" t="str">
        <f>HYPERLINK("https://files.afu.se/Downloads/Transcripts/0%20-%20Government/USA%20-%20NASA%20Kennedy/2021 04 23 - NASA's Kennedy Space Center - Inside KSC! for April 23, 2021_mdPbpfiODBk - transcript (automated).pdf","Transcript Link")</f>
        <v>Transcript Link</v>
      </c>
      <c r="M160" s="2" t="str">
        <f>HYPERLINK("https://files.afu.se/Downloads/Transcripts/0%20-%20Government/USA%20-%20NASA%20Kennedy/2021 04 23 - NASA's Kennedy Space Center - Inside KSC! for April 23, 2021_mdPbpfiODBk - transcript (automated).pdf","Transcript Link")</f>
        <v>Transcript Link</v>
      </c>
    </row>
    <row r="161" ht="180" spans="1:13">
      <c r="A161" s="1" t="s">
        <v>741</v>
      </c>
      <c r="B161" s="1" t="s">
        <v>13</v>
      </c>
      <c r="C161" s="4" t="s">
        <v>746</v>
      </c>
      <c r="D161" s="1" t="s">
        <v>747</v>
      </c>
      <c r="E161" s="1" t="s">
        <v>748</v>
      </c>
      <c r="F161" s="4" t="s">
        <v>17</v>
      </c>
      <c r="G161" s="1" t="s">
        <v>18</v>
      </c>
      <c r="H161" s="1" t="s">
        <v>19</v>
      </c>
      <c r="I161" s="1" t="s">
        <v>20</v>
      </c>
      <c r="J161" s="1" t="s">
        <v>749</v>
      </c>
      <c r="K161" s="1" t="s">
        <v>22</v>
      </c>
      <c r="L161" s="1" t="str">
        <f>HYPERLINK("https://files.afu.se/Downloads/Transcripts/0%20-%20Government/USA%20-%20NASA%20Kennedy/2021 04 23 - NASA's Kennedy Space Center - NASA's SpaceX Crew-2 Spacecraft Separation_fXh-tmA9VpA - transcript (automated).pdf","Transcript Link")</f>
        <v>Transcript Link</v>
      </c>
      <c r="M161" s="2" t="str">
        <f>HYPERLINK("https://files.afu.se/Downloads/Transcripts/0%20-%20Government/USA%20-%20NASA%20Kennedy/2021 04 23 - NASA's Kennedy Space Center - NASA's SpaceX Crew-2 Spacecraft Separation_fXh-tmA9VpA - transcript (automated).pdf","Transcript Link")</f>
        <v>Transcript Link</v>
      </c>
    </row>
    <row r="162" ht="180" spans="1:13">
      <c r="A162" s="1" t="s">
        <v>741</v>
      </c>
      <c r="B162" s="1" t="s">
        <v>13</v>
      </c>
      <c r="C162" s="4" t="s">
        <v>750</v>
      </c>
      <c r="D162" s="1" t="s">
        <v>751</v>
      </c>
      <c r="E162" s="1" t="s">
        <v>752</v>
      </c>
      <c r="F162" s="4" t="s">
        <v>17</v>
      </c>
      <c r="G162" s="1" t="s">
        <v>18</v>
      </c>
      <c r="H162" s="1" t="s">
        <v>19</v>
      </c>
      <c r="I162" s="1" t="s">
        <v>20</v>
      </c>
      <c r="J162" s="1" t="s">
        <v>753</v>
      </c>
      <c r="K162" s="1" t="s">
        <v>22</v>
      </c>
      <c r="L162" s="1" t="str">
        <f>HYPERLINK("https://files.afu.se/Downloads/Transcripts/0%20-%20Government/USA%20-%20NASA%20Kennedy/2021 04 23 - NASA's Kennedy Space Center - NASA's SpaceX Crew-2 Liftoff_KRFXcMGVSwY - transcript (automated).pdf","Transcript Link")</f>
        <v>Transcript Link</v>
      </c>
      <c r="M162" s="2" t="str">
        <f>HYPERLINK("https://files.afu.se/Downloads/Transcripts/0%20-%20Government/USA%20-%20NASA%20Kennedy/2021 04 23 - NASA's Kennedy Space Center - NASA's SpaceX Crew-2 Liftoff_KRFXcMGVSwY - transcript (automated).pdf","Transcript Link")</f>
        <v>Transcript Link</v>
      </c>
    </row>
    <row r="163" ht="180" spans="1:13">
      <c r="A163" s="1" t="s">
        <v>741</v>
      </c>
      <c r="B163" s="1" t="s">
        <v>13</v>
      </c>
      <c r="C163" s="4" t="s">
        <v>754</v>
      </c>
      <c r="D163" s="1" t="s">
        <v>755</v>
      </c>
      <c r="E163" s="1" t="s">
        <v>756</v>
      </c>
      <c r="F163" s="4" t="s">
        <v>17</v>
      </c>
      <c r="G163" s="1" t="s">
        <v>18</v>
      </c>
      <c r="H163" s="1" t="s">
        <v>19</v>
      </c>
      <c r="I163" s="1" t="s">
        <v>20</v>
      </c>
      <c r="J163" s="1" t="s">
        <v>757</v>
      </c>
      <c r="K163" s="1" t="s">
        <v>22</v>
      </c>
      <c r="L163" s="1" t="str">
        <f>HYPERLINK("https://files.afu.se/Downloads/Transcripts/0%20-%20Government/USA%20-%20NASA%20Kennedy/2021 04 23 - NASA's Kennedy Space Center - NASA's SpaceX Crew-2 Astronauts Suit Up_V4vy_ntjVng - transcript (automated).pdf","Transcript Link")</f>
        <v>Transcript Link</v>
      </c>
      <c r="M163" s="2" t="str">
        <f>HYPERLINK("https://files.afu.se/Downloads/Transcripts/0%20-%20Government/USA%20-%20NASA%20Kennedy/2021 04 23 - NASA's Kennedy Space Center - NASA's SpaceX Crew-2 Astronauts Suit Up_V4vy_ntjVng - transcript (automated).pdf","Transcript Link")</f>
        <v>Transcript Link</v>
      </c>
    </row>
    <row r="164" ht="180" spans="1:13">
      <c r="A164" s="1" t="s">
        <v>741</v>
      </c>
      <c r="B164" s="1" t="s">
        <v>13</v>
      </c>
      <c r="C164" s="4" t="s">
        <v>758</v>
      </c>
      <c r="D164" s="1" t="s">
        <v>759</v>
      </c>
      <c r="E164" s="1" t="s">
        <v>760</v>
      </c>
      <c r="F164" s="4" t="s">
        <v>17</v>
      </c>
      <c r="G164" s="1" t="s">
        <v>18</v>
      </c>
      <c r="H164" s="1" t="s">
        <v>19</v>
      </c>
      <c r="I164" s="1" t="s">
        <v>20</v>
      </c>
      <c r="J164" s="1" t="s">
        <v>761</v>
      </c>
      <c r="K164" s="1" t="s">
        <v>22</v>
      </c>
      <c r="L164" s="1" t="str">
        <f>HYPERLINK("https://files.afu.se/Downloads/Transcripts/0%20-%20Government/USA%20-%20NASA%20Kennedy/2021 04 23 - NASA's Kennedy Space Center - NASA's SpaceX Crew-2 Broadcast Begins_ZV4J94gD_Qw - transcript (automated).pdf","Transcript Link")</f>
        <v>Transcript Link</v>
      </c>
      <c r="M164" s="2" t="str">
        <f>HYPERLINK("https://files.afu.se/Downloads/Transcripts/0%20-%20Government/USA%20-%20NASA%20Kennedy/2021 04 23 - NASA's Kennedy Space Center - NASA's SpaceX Crew-2 Broadcast Begins_ZV4J94gD_Qw - transcript (automated).pdf","Transcript Link")</f>
        <v>Transcript Link</v>
      </c>
    </row>
    <row r="165" ht="180" spans="1:13">
      <c r="A165" s="1" t="s">
        <v>741</v>
      </c>
      <c r="B165" s="1" t="s">
        <v>13</v>
      </c>
      <c r="C165" s="4" t="s">
        <v>762</v>
      </c>
      <c r="D165" s="1" t="s">
        <v>763</v>
      </c>
      <c r="E165" s="1" t="s">
        <v>764</v>
      </c>
      <c r="F165" s="4" t="s">
        <v>17</v>
      </c>
      <c r="G165" s="1" t="s">
        <v>18</v>
      </c>
      <c r="H165" s="1" t="s">
        <v>19</v>
      </c>
      <c r="I165" s="1" t="s">
        <v>20</v>
      </c>
      <c r="J165" s="1" t="s">
        <v>765</v>
      </c>
      <c r="K165" s="1" t="s">
        <v>22</v>
      </c>
      <c r="L165" s="1" t="str">
        <f>HYPERLINK("https://files.afu.se/Downloads/Transcripts/0%20-%20Government/USA%20-%20NASA%20Kennedy/2021 04 23 - NASA's Kennedy Space Center - NASA's SpaceX Crew-2 Astronauts Step Outside_TrEJdl8kln4 - transcript (automated).pdf","Transcript Link")</f>
        <v>Transcript Link</v>
      </c>
      <c r="M165" s="2" t="str">
        <f>HYPERLINK("https://files.afu.se/Downloads/Transcripts/0%20-%20Government/USA%20-%20NASA%20Kennedy/2021 04 23 - NASA's Kennedy Space Center - NASA's SpaceX Crew-2 Astronauts Step Outside_TrEJdl8kln4 - transcript (automated).pdf","Transcript Link")</f>
        <v>Transcript Link</v>
      </c>
    </row>
    <row r="166" ht="180" spans="1:13">
      <c r="A166" s="1" t="s">
        <v>766</v>
      </c>
      <c r="B166" s="1" t="s">
        <v>13</v>
      </c>
      <c r="C166" s="4" t="s">
        <v>767</v>
      </c>
      <c r="D166" s="1" t="s">
        <v>768</v>
      </c>
      <c r="E166" s="1" t="s">
        <v>769</v>
      </c>
      <c r="F166" s="4" t="s">
        <v>17</v>
      </c>
      <c r="G166" s="1" t="s">
        <v>18</v>
      </c>
      <c r="H166" s="1" t="s">
        <v>19</v>
      </c>
      <c r="I166" s="1" t="s">
        <v>20</v>
      </c>
      <c r="J166" s="1" t="s">
        <v>770</v>
      </c>
      <c r="K166" s="1" t="s">
        <v>22</v>
      </c>
      <c r="L166" s="1" t="str">
        <f>HYPERLINK("https://files.afu.se/Downloads/Transcripts/0%20-%20Government/USA%20-%20NASA%20Kennedy/2021 04 16 - NASA's Kennedy Space Center - Inside KSC! for April 16, 2021_v7k8ISJAUU0 - transcript (automated).pdf","Transcript Link")</f>
        <v>Transcript Link</v>
      </c>
      <c r="M166" s="2" t="str">
        <f>HYPERLINK("https://files.afu.se/Downloads/Transcripts/0%20-%20Government/USA%20-%20NASA%20Kennedy/2021 04 16 - NASA's Kennedy Space Center - Inside KSC! for April 16, 2021_v7k8ISJAUU0 - transcript (automated).pdf","Transcript Link")</f>
        <v>Transcript Link</v>
      </c>
    </row>
    <row r="167" ht="180" spans="1:13">
      <c r="A167" s="1" t="s">
        <v>766</v>
      </c>
      <c r="B167" s="1" t="s">
        <v>13</v>
      </c>
      <c r="C167" s="4" t="s">
        <v>771</v>
      </c>
      <c r="D167" s="1" t="s">
        <v>772</v>
      </c>
      <c r="E167" s="1" t="s">
        <v>773</v>
      </c>
      <c r="F167" s="4" t="s">
        <v>17</v>
      </c>
      <c r="G167" s="1" t="s">
        <v>18</v>
      </c>
      <c r="H167" s="1" t="s">
        <v>19</v>
      </c>
      <c r="I167" s="1" t="s">
        <v>20</v>
      </c>
      <c r="J167" s="1" t="s">
        <v>774</v>
      </c>
      <c r="K167" s="1" t="s">
        <v>22</v>
      </c>
      <c r="L167" s="1">
        <v>0</v>
      </c>
      <c r="M167" s="2">
        <v>0</v>
      </c>
    </row>
    <row r="168" ht="180" spans="1:13">
      <c r="A168" s="1" t="s">
        <v>775</v>
      </c>
      <c r="B168" s="1" t="s">
        <v>13</v>
      </c>
      <c r="C168" s="4" t="s">
        <v>776</v>
      </c>
      <c r="D168" s="1" t="s">
        <v>777</v>
      </c>
      <c r="E168" s="1" t="s">
        <v>778</v>
      </c>
      <c r="F168" s="4" t="s">
        <v>17</v>
      </c>
      <c r="G168" s="1" t="s">
        <v>18</v>
      </c>
      <c r="H168" s="1" t="s">
        <v>19</v>
      </c>
      <c r="I168" s="1" t="s">
        <v>20</v>
      </c>
      <c r="J168" s="1" t="s">
        <v>779</v>
      </c>
      <c r="K168" s="1" t="s">
        <v>22</v>
      </c>
      <c r="L168" s="1" t="str">
        <f>HYPERLINK("https://files.afu.se/Downloads/Transcripts/0%20-%20Government/USA%20-%20NASA%20Kennedy/2021 04 12 - NASA's Kennedy Space Center - Crane Replacement in the Operations and Checkout Building High Bay_QJilQsllqE0 - transcript (automated).pdf","Transcript Link")</f>
        <v>Transcript Link</v>
      </c>
      <c r="M168" s="2" t="str">
        <f>HYPERLINK("https://files.afu.se/Downloads/Transcripts/0%20-%20Government/USA%20-%20NASA%20Kennedy/2021 04 12 - NASA's Kennedy Space Center - Crane Replacement in the Operations and Checkout Building High Bay_QJilQsllqE0 - transcript (automated).pdf","Transcript Link")</f>
        <v>Transcript Link</v>
      </c>
    </row>
    <row r="169" ht="195" spans="1:13">
      <c r="A169" s="1" t="s">
        <v>780</v>
      </c>
      <c r="B169" s="1" t="s">
        <v>13</v>
      </c>
      <c r="C169" s="4" t="s">
        <v>781</v>
      </c>
      <c r="D169" s="1" t="s">
        <v>782</v>
      </c>
      <c r="E169" s="1" t="s">
        <v>783</v>
      </c>
      <c r="F169" s="4" t="s">
        <v>17</v>
      </c>
      <c r="G169" s="1" t="s">
        <v>18</v>
      </c>
      <c r="H169" s="1" t="s">
        <v>19</v>
      </c>
      <c r="I169" s="1" t="s">
        <v>20</v>
      </c>
      <c r="J169" s="1" t="s">
        <v>784</v>
      </c>
      <c r="K169" s="1" t="s">
        <v>22</v>
      </c>
      <c r="L169" s="1" t="str">
        <f>HYPERLINK("https://files.afu.se/Downloads/Transcripts/0%20-%20Government/USA%20-%20NASA%20Kennedy/2021 04 09 - NASA's Kennedy Space Center - Inside KSC! for April 9, 2021_-OR336xQldY - transcript (automated).pdf","Transcript Link")</f>
        <v>Transcript Link</v>
      </c>
      <c r="M169" s="2" t="str">
        <f>HYPERLINK("https://files.afu.se/Downloads/Transcripts/0%20-%20Government/USA%20-%20NASA%20Kennedy/2021 04 09 - NASA's Kennedy Space Center - Inside KSC! for April 9, 2021_-OR336xQldY - transcript (automated).pdf","Transcript Link")</f>
        <v>Transcript Link</v>
      </c>
    </row>
    <row r="170" ht="180" spans="1:13">
      <c r="A170" s="1" t="s">
        <v>785</v>
      </c>
      <c r="B170" s="1" t="s">
        <v>13</v>
      </c>
      <c r="C170" s="4" t="s">
        <v>786</v>
      </c>
      <c r="D170" s="1" t="s">
        <v>787</v>
      </c>
      <c r="E170" s="1" t="s">
        <v>788</v>
      </c>
      <c r="F170" s="4" t="s">
        <v>17</v>
      </c>
      <c r="G170" s="1" t="s">
        <v>18</v>
      </c>
      <c r="H170" s="1" t="s">
        <v>19</v>
      </c>
      <c r="I170" s="1" t="s">
        <v>20</v>
      </c>
      <c r="J170" s="1" t="s">
        <v>789</v>
      </c>
      <c r="K170" s="1" t="s">
        <v>22</v>
      </c>
      <c r="L170" s="1">
        <v>0</v>
      </c>
      <c r="M170" s="2">
        <v>0</v>
      </c>
    </row>
    <row r="171" ht="180" spans="1:13">
      <c r="A171" s="1" t="s">
        <v>790</v>
      </c>
      <c r="B171" s="1" t="s">
        <v>13</v>
      </c>
      <c r="C171" s="4" t="s">
        <v>791</v>
      </c>
      <c r="D171" s="1" t="s">
        <v>792</v>
      </c>
      <c r="E171" s="1" t="s">
        <v>793</v>
      </c>
      <c r="F171" s="4" t="s">
        <v>17</v>
      </c>
      <c r="G171" s="1" t="s">
        <v>18</v>
      </c>
      <c r="H171" s="1" t="s">
        <v>19</v>
      </c>
      <c r="I171" s="1" t="s">
        <v>20</v>
      </c>
      <c r="J171" s="1" t="s">
        <v>794</v>
      </c>
      <c r="K171" s="1" t="s">
        <v>22</v>
      </c>
      <c r="L171" s="1" t="str">
        <f>HYPERLINK("https://files.afu.se/Downloads/Transcripts/0%20-%20Government/USA%20-%20NASA%20Kennedy/2021 04 02 - NASA's Kennedy Space Center - Inside KSC! for April 2, 2021_pmmilGIONaA - transcript (automated).pdf","Transcript Link")</f>
        <v>Transcript Link</v>
      </c>
      <c r="M171" s="2" t="str">
        <f>HYPERLINK("https://files.afu.se/Downloads/Transcripts/0%20-%20Government/USA%20-%20NASA%20Kennedy/2021 04 02 - NASA's Kennedy Space Center - Inside KSC! for April 2, 2021_pmmilGIONaA - transcript (automated).pdf","Transcript Link")</f>
        <v>Transcript Link</v>
      </c>
    </row>
    <row r="172" ht="180" spans="1:13">
      <c r="A172" s="1" t="s">
        <v>795</v>
      </c>
      <c r="B172" s="1" t="s">
        <v>13</v>
      </c>
      <c r="C172" s="4" t="s">
        <v>796</v>
      </c>
      <c r="D172" s="1" t="s">
        <v>797</v>
      </c>
      <c r="E172" s="1" t="s">
        <v>798</v>
      </c>
      <c r="F172" s="4" t="s">
        <v>17</v>
      </c>
      <c r="G172" s="1" t="s">
        <v>18</v>
      </c>
      <c r="H172" s="1" t="s">
        <v>19</v>
      </c>
      <c r="I172" s="1" t="s">
        <v>20</v>
      </c>
      <c r="J172" s="1" t="s">
        <v>799</v>
      </c>
      <c r="K172" s="1" t="s">
        <v>22</v>
      </c>
      <c r="L172" s="1" t="str">
        <f>HYPERLINK("https://files.afu.se/Downloads/Transcripts/0%20-%20Government/USA%20-%20NASA%20Kennedy/2021 03 29 - NASA's Kennedy Space Center - Women's History Month at the Kennedy Space Center_DJz-0Pq5_q0 - transcript (automated).pdf","Transcript Link")</f>
        <v>Transcript Link</v>
      </c>
      <c r="M172" s="2" t="str">
        <f>HYPERLINK("https://files.afu.se/Downloads/Transcripts/0%20-%20Government/USA%20-%20NASA%20Kennedy/2021 03 29 - NASA's Kennedy Space Center - Women's History Month at the Kennedy Space Center_DJz-0Pq5_q0 - transcript (automated).pdf","Transcript Link")</f>
        <v>Transcript Link</v>
      </c>
    </row>
    <row r="173" ht="195" spans="1:13">
      <c r="A173" s="1" t="s">
        <v>800</v>
      </c>
      <c r="B173" s="1" t="s">
        <v>13</v>
      </c>
      <c r="C173" s="4" t="s">
        <v>801</v>
      </c>
      <c r="D173" s="1" t="s">
        <v>802</v>
      </c>
      <c r="E173" s="1" t="s">
        <v>803</v>
      </c>
      <c r="F173" s="4" t="s">
        <v>17</v>
      </c>
      <c r="G173" s="1" t="s">
        <v>18</v>
      </c>
      <c r="H173" s="1" t="s">
        <v>19</v>
      </c>
      <c r="I173" s="1" t="s">
        <v>20</v>
      </c>
      <c r="J173" s="1" t="s">
        <v>804</v>
      </c>
      <c r="K173" s="1" t="s">
        <v>22</v>
      </c>
      <c r="L173" s="1" t="str">
        <f>HYPERLINK("https://files.afu.se/Downloads/Transcripts/0%20-%20Government/USA%20-%20NASA%20Kennedy/2021 03 26 - NASA's Kennedy Space Center - Inside KSC! for March 26, 2021_8NwEn0vwk2s - transcript (automated).pdf","Transcript Link")</f>
        <v>Transcript Link</v>
      </c>
      <c r="M173" s="2" t="str">
        <f>HYPERLINK("https://files.afu.se/Downloads/Transcripts/0%20-%20Government/USA%20-%20NASA%20Kennedy/2021 03 26 - NASA's Kennedy Space Center - Inside KSC! for March 26, 2021_8NwEn0vwk2s - transcript (automated).pdf","Transcript Link")</f>
        <v>Transcript Link</v>
      </c>
    </row>
    <row r="174" ht="195" spans="1:13">
      <c r="A174" s="1" t="s">
        <v>805</v>
      </c>
      <c r="B174" s="1" t="s">
        <v>13</v>
      </c>
      <c r="C174" s="4" t="s">
        <v>806</v>
      </c>
      <c r="D174" s="1" t="s">
        <v>807</v>
      </c>
      <c r="E174" s="1" t="s">
        <v>808</v>
      </c>
      <c r="F174" s="4" t="s">
        <v>17</v>
      </c>
      <c r="G174" s="1" t="s">
        <v>18</v>
      </c>
      <c r="H174" s="1" t="s">
        <v>19</v>
      </c>
      <c r="I174" s="1" t="s">
        <v>20</v>
      </c>
      <c r="J174" s="1" t="s">
        <v>809</v>
      </c>
      <c r="K174" s="1" t="s">
        <v>22</v>
      </c>
      <c r="L174" s="1" t="str">
        <f>HYPERLINK("https://files.afu.se/Downloads/Transcripts/0%20-%20Government/USA%20-%20NASA%20Kennedy/2021 03 19 - NASA's Kennedy Space Center - Inside KSC! for March 19, 2021_E2Z2P7do7rQ - transcript (automated).pdf","Transcript Link")</f>
        <v>Transcript Link</v>
      </c>
      <c r="M174" s="2" t="str">
        <f>HYPERLINK("https://files.afu.se/Downloads/Transcripts/0%20-%20Government/USA%20-%20NASA%20Kennedy/2021 03 19 - NASA's Kennedy Space Center - Inside KSC! for March 19, 2021_E2Z2P7do7rQ - transcript (automated).pdf","Transcript Link")</f>
        <v>Transcript Link</v>
      </c>
    </row>
    <row r="175" ht="180" spans="1:13">
      <c r="A175" s="1" t="s">
        <v>805</v>
      </c>
      <c r="B175" s="1" t="s">
        <v>13</v>
      </c>
      <c r="C175" s="4" t="s">
        <v>810</v>
      </c>
      <c r="D175" s="1" t="s">
        <v>811</v>
      </c>
      <c r="E175" s="1" t="s">
        <v>812</v>
      </c>
      <c r="F175" s="4" t="s">
        <v>17</v>
      </c>
      <c r="G175" s="1" t="s">
        <v>18</v>
      </c>
      <c r="H175" s="1" t="s">
        <v>19</v>
      </c>
      <c r="I175" s="1" t="s">
        <v>20</v>
      </c>
      <c r="J175" s="1" t="s">
        <v>813</v>
      </c>
      <c r="K175" s="1" t="s">
        <v>22</v>
      </c>
      <c r="L175" s="1">
        <v>0</v>
      </c>
      <c r="M175" s="2">
        <v>0</v>
      </c>
    </row>
    <row r="176" ht="180" spans="1:13">
      <c r="A176" s="1" t="s">
        <v>814</v>
      </c>
      <c r="B176" s="1" t="s">
        <v>13</v>
      </c>
      <c r="C176" s="4" t="s">
        <v>815</v>
      </c>
      <c r="D176" s="1" t="s">
        <v>816</v>
      </c>
      <c r="E176" s="1" t="s">
        <v>817</v>
      </c>
      <c r="F176" s="4" t="s">
        <v>17</v>
      </c>
      <c r="G176" s="1" t="s">
        <v>18</v>
      </c>
      <c r="H176" s="1" t="s">
        <v>19</v>
      </c>
      <c r="I176" s="1" t="s">
        <v>20</v>
      </c>
      <c r="J176" s="1" t="s">
        <v>818</v>
      </c>
      <c r="K176" s="1" t="s">
        <v>22</v>
      </c>
      <c r="L176" s="1" t="str">
        <f>HYPERLINK("https://files.afu.se/Downloads/Transcripts/0%20-%20Government/USA%20-%20NASA%20Kennedy/2021 03 15 - NASA's Kennedy Space Center - Artemis I Rocket Boosters Are Ready_1CztM1kOdmM - transcript (automated).pdf","Transcript Link")</f>
        <v>Transcript Link</v>
      </c>
      <c r="M176" s="2" t="str">
        <f>HYPERLINK("https://files.afu.se/Downloads/Transcripts/0%20-%20Government/USA%20-%20NASA%20Kennedy/2021 03 15 - NASA's Kennedy Space Center - Artemis I Rocket Boosters Are Ready_1CztM1kOdmM - transcript (automated).pdf","Transcript Link")</f>
        <v>Transcript Link</v>
      </c>
    </row>
    <row r="177" ht="180" spans="1:13">
      <c r="A177" s="1" t="s">
        <v>819</v>
      </c>
      <c r="B177" s="1" t="s">
        <v>13</v>
      </c>
      <c r="C177" s="4" t="s">
        <v>820</v>
      </c>
      <c r="D177" s="1" t="s">
        <v>821</v>
      </c>
      <c r="E177" s="1" t="s">
        <v>822</v>
      </c>
      <c r="F177" s="4" t="s">
        <v>17</v>
      </c>
      <c r="G177" s="1" t="s">
        <v>18</v>
      </c>
      <c r="H177" s="1" t="s">
        <v>19</v>
      </c>
      <c r="I177" s="1" t="s">
        <v>20</v>
      </c>
      <c r="J177" s="1" t="s">
        <v>823</v>
      </c>
      <c r="K177" s="1" t="s">
        <v>22</v>
      </c>
      <c r="L177" s="1" t="str">
        <f>HYPERLINK("https://files.afu.se/Downloads/Transcripts/0%20-%20Government/USA%20-%20NASA%20Kennedy/2021 03 12 - NASA's Kennedy Space Center - Inside KSC! for March 12, 2021_9W9bnvXhe_8 - transcript (automated).pdf","Transcript Link")</f>
        <v>Transcript Link</v>
      </c>
      <c r="M177" s="2" t="str">
        <f>HYPERLINK("https://files.afu.se/Downloads/Transcripts/0%20-%20Government/USA%20-%20NASA%20Kennedy/2021 03 12 - NASA's Kennedy Space Center - Inside KSC! for March 12, 2021_9W9bnvXhe_8 - transcript (automated).pdf","Transcript Link")</f>
        <v>Transcript Link</v>
      </c>
    </row>
    <row r="178" ht="180" spans="1:13">
      <c r="A178" s="1" t="s">
        <v>824</v>
      </c>
      <c r="B178" s="1" t="s">
        <v>13</v>
      </c>
      <c r="C178" s="4" t="s">
        <v>825</v>
      </c>
      <c r="D178" s="1" t="s">
        <v>826</v>
      </c>
      <c r="E178" s="1" t="s">
        <v>827</v>
      </c>
      <c r="F178" s="4" t="s">
        <v>17</v>
      </c>
      <c r="G178" s="1" t="s">
        <v>18</v>
      </c>
      <c r="H178" s="1" t="s">
        <v>19</v>
      </c>
      <c r="I178" s="1" t="s">
        <v>20</v>
      </c>
      <c r="J178" s="1" t="s">
        <v>828</v>
      </c>
      <c r="K178" s="1" t="s">
        <v>22</v>
      </c>
      <c r="L178" s="1" t="str">
        <f>HYPERLINK("https://files.afu.se/Downloads/Transcripts/0%20-%20Government/USA%20-%20NASA%20Kennedy/2021 03 09 - NASA's Kennedy Space Center - Get Ready For Artemis_cGMJouzeZ8I - transcript (automated).pdf","Transcript Link")</f>
        <v>Transcript Link</v>
      </c>
      <c r="M178" s="2" t="str">
        <f>HYPERLINK("https://files.afu.se/Downloads/Transcripts/0%20-%20Government/USA%20-%20NASA%20Kennedy/2021 03 09 - NASA's Kennedy Space Center - Get Ready For Artemis_cGMJouzeZ8I - transcript (automated).pdf","Transcript Link")</f>
        <v>Transcript Link</v>
      </c>
    </row>
    <row r="179" ht="225" spans="1:13">
      <c r="A179" s="1" t="s">
        <v>829</v>
      </c>
      <c r="B179" s="1" t="s">
        <v>13</v>
      </c>
      <c r="C179" s="4" t="s">
        <v>830</v>
      </c>
      <c r="D179" s="1" t="s">
        <v>831</v>
      </c>
      <c r="E179" s="1" t="s">
        <v>832</v>
      </c>
      <c r="F179" s="4" t="s">
        <v>17</v>
      </c>
      <c r="G179" s="1" t="s">
        <v>18</v>
      </c>
      <c r="H179" s="1" t="s">
        <v>19</v>
      </c>
      <c r="I179" s="1" t="s">
        <v>20</v>
      </c>
      <c r="J179" s="1" t="s">
        <v>833</v>
      </c>
      <c r="K179" s="1" t="s">
        <v>22</v>
      </c>
      <c r="L179" s="1" t="str">
        <f>HYPERLINK("https://files.afu.se/Downloads/Transcripts/0%20-%20Government/USA%20-%20NASA%20Kennedy/2021 03 05 - NASA's Kennedy Space Center - Inside KSC  March 5, 2021_wRZPX8fBZMg - transcript (automated).pdf","Transcript Link")</f>
        <v>Transcript Link</v>
      </c>
      <c r="M179" s="2" t="str">
        <f>HYPERLINK("https://files.afu.se/Downloads/Transcripts/0%20-%20Government/USA%20-%20NASA%20Kennedy/2021 03 05 - NASA's Kennedy Space Center - Inside KSC  March 5, 2021_wRZPX8fBZMg - transcript (automated).pdf","Transcript Link")</f>
        <v>Transcript Link</v>
      </c>
    </row>
    <row r="180" ht="180" spans="1:13">
      <c r="A180" s="1" t="s">
        <v>834</v>
      </c>
      <c r="B180" s="1" t="s">
        <v>13</v>
      </c>
      <c r="C180" s="4" t="s">
        <v>835</v>
      </c>
      <c r="D180" s="1" t="s">
        <v>836</v>
      </c>
      <c r="E180" s="1" t="s">
        <v>837</v>
      </c>
      <c r="F180" s="4" t="s">
        <v>17</v>
      </c>
      <c r="G180" s="1" t="s">
        <v>18</v>
      </c>
      <c r="H180" s="1" t="s">
        <v>19</v>
      </c>
      <c r="I180" s="1" t="s">
        <v>20</v>
      </c>
      <c r="J180" s="1" t="s">
        <v>838</v>
      </c>
      <c r="K180" s="1" t="s">
        <v>22</v>
      </c>
      <c r="L180" s="1" t="str">
        <f>HYPERLINK("https://files.afu.se/Downloads/Transcripts/0%20-%20Government/USA%20-%20NASA%20Kennedy/2021 03 02 - NASA's Kennedy Space Center - Persevering In a Pandemic_8gSb45BJ_E4 - transcript (automated).pdf","Transcript Link")</f>
        <v>Transcript Link</v>
      </c>
      <c r="M180" s="2" t="str">
        <f>HYPERLINK("https://files.afu.se/Downloads/Transcripts/0%20-%20Government/USA%20-%20NASA%20Kennedy/2021 03 02 - NASA's Kennedy Space Center - Persevering In a Pandemic_8gSb45BJ_E4 - transcript (automated).pdf","Transcript Link")</f>
        <v>Transcript Link</v>
      </c>
    </row>
    <row r="181" ht="195" spans="1:13">
      <c r="A181" s="1" t="s">
        <v>839</v>
      </c>
      <c r="B181" s="1" t="s">
        <v>13</v>
      </c>
      <c r="C181" s="4" t="s">
        <v>840</v>
      </c>
      <c r="D181" s="1" t="s">
        <v>841</v>
      </c>
      <c r="E181" s="1" t="s">
        <v>842</v>
      </c>
      <c r="F181" s="4" t="s">
        <v>17</v>
      </c>
      <c r="G181" s="1" t="s">
        <v>18</v>
      </c>
      <c r="H181" s="1" t="s">
        <v>19</v>
      </c>
      <c r="I181" s="1" t="s">
        <v>20</v>
      </c>
      <c r="J181" s="1" t="s">
        <v>843</v>
      </c>
      <c r="K181" s="1" t="s">
        <v>22</v>
      </c>
      <c r="L181" s="1" t="str">
        <f>HYPERLINK("https://files.afu.se/Downloads/Transcripts/0%20-%20Government/USA%20-%20NASA%20Kennedy/2021 02 26 - NASA's Kennedy Space Center - Inside KSC! for Feb. 26, 2021_4BYIeeLJNEI - transcript (automated).pdf","Transcript Link")</f>
        <v>Transcript Link</v>
      </c>
      <c r="M181" s="2" t="str">
        <f>HYPERLINK("https://files.afu.se/Downloads/Transcripts/0%20-%20Government/USA%20-%20NASA%20Kennedy/2021 02 26 - NASA's Kennedy Space Center - Inside KSC! for Feb. 26, 2021_4BYIeeLJNEI - transcript (automated).pdf","Transcript Link")</f>
        <v>Transcript Link</v>
      </c>
    </row>
    <row r="182" ht="180" spans="1:13">
      <c r="A182" s="1" t="s">
        <v>844</v>
      </c>
      <c r="B182" s="1" t="s">
        <v>13</v>
      </c>
      <c r="C182" s="4" t="s">
        <v>845</v>
      </c>
      <c r="D182" s="1" t="s">
        <v>846</v>
      </c>
      <c r="E182" s="1" t="s">
        <v>847</v>
      </c>
      <c r="F182" s="4" t="s">
        <v>17</v>
      </c>
      <c r="G182" s="1" t="s">
        <v>18</v>
      </c>
      <c r="H182" s="1" t="s">
        <v>19</v>
      </c>
      <c r="I182" s="1" t="s">
        <v>20</v>
      </c>
      <c r="J182" s="1" t="s">
        <v>848</v>
      </c>
      <c r="K182" s="1" t="s">
        <v>22</v>
      </c>
      <c r="L182" s="1">
        <v>0</v>
      </c>
      <c r="M182" s="2">
        <v>0</v>
      </c>
    </row>
    <row r="183" ht="180" spans="1:13">
      <c r="A183" s="1" t="s">
        <v>844</v>
      </c>
      <c r="B183" s="1" t="s">
        <v>13</v>
      </c>
      <c r="C183" s="4" t="s">
        <v>849</v>
      </c>
      <c r="D183" s="1" t="s">
        <v>850</v>
      </c>
      <c r="E183" s="1" t="s">
        <v>851</v>
      </c>
      <c r="F183" s="4" t="s">
        <v>17</v>
      </c>
      <c r="G183" s="1" t="s">
        <v>18</v>
      </c>
      <c r="H183" s="1" t="s">
        <v>19</v>
      </c>
      <c r="I183" s="1" t="s">
        <v>20</v>
      </c>
      <c r="J183" s="1" t="s">
        <v>852</v>
      </c>
      <c r="K183" s="1" t="s">
        <v>22</v>
      </c>
      <c r="L183" s="1" t="str">
        <f>HYPERLINK("https://files.afu.se/Downloads/Transcripts/0%20-%20Government/USA%20-%20NASA%20Kennedy/2021 02 19 - NASA's Kennedy Space Center - Inside KSC! for Feb.19, 2021_wA1kZaVyt-A - transcript (automated).pdf","Transcript Link")</f>
        <v>Transcript Link</v>
      </c>
      <c r="M183" s="2" t="str">
        <f>HYPERLINK("https://files.afu.se/Downloads/Transcripts/0%20-%20Government/USA%20-%20NASA%20Kennedy/2021 02 19 - NASA's Kennedy Space Center - Inside KSC! for Feb.19, 2021_wA1kZaVyt-A - transcript (automated).pdf","Transcript Link")</f>
        <v>Transcript Link</v>
      </c>
    </row>
    <row r="184" ht="180" spans="1:13">
      <c r="A184" s="1" t="s">
        <v>853</v>
      </c>
      <c r="B184" s="1" t="s">
        <v>13</v>
      </c>
      <c r="C184" s="4" t="s">
        <v>854</v>
      </c>
      <c r="D184" s="1" t="s">
        <v>855</v>
      </c>
      <c r="E184" s="1" t="s">
        <v>856</v>
      </c>
      <c r="F184" s="4" t="s">
        <v>17</v>
      </c>
      <c r="G184" s="1" t="s">
        <v>18</v>
      </c>
      <c r="H184" s="1" t="s">
        <v>19</v>
      </c>
      <c r="I184" s="1" t="s">
        <v>20</v>
      </c>
      <c r="J184" s="1" t="s">
        <v>857</v>
      </c>
      <c r="K184" s="1" t="s">
        <v>22</v>
      </c>
      <c r="L184" s="1" t="str">
        <f>HYPERLINK("https://files.afu.se/Downloads/Transcripts/0%20-%20Government/USA%20-%20NASA%20Kennedy/2021 02 12 - NASA's Kennedy Space Center - Inside KSC! for Feb.12, 2021_PwhOEzVzDcQ - transcript (automated).pdf","Transcript Link")</f>
        <v>Transcript Link</v>
      </c>
      <c r="M184" s="2" t="str">
        <f>HYPERLINK("https://files.afu.se/Downloads/Transcripts/0%20-%20Government/USA%20-%20NASA%20Kennedy/2021 02 12 - NASA's Kennedy Space Center - Inside KSC! for Feb.12, 2021_PwhOEzVzDcQ - transcript (automated).pdf","Transcript Link")</f>
        <v>Transcript Link</v>
      </c>
    </row>
    <row r="185" ht="180" spans="1:13">
      <c r="A185" s="1" t="s">
        <v>858</v>
      </c>
      <c r="B185" s="1" t="s">
        <v>13</v>
      </c>
      <c r="C185" s="4" t="s">
        <v>859</v>
      </c>
      <c r="D185" s="1" t="s">
        <v>860</v>
      </c>
      <c r="E185" s="1" t="s">
        <v>861</v>
      </c>
      <c r="F185" s="4" t="s">
        <v>17</v>
      </c>
      <c r="G185" s="1" t="s">
        <v>18</v>
      </c>
      <c r="H185" s="1" t="s">
        <v>19</v>
      </c>
      <c r="I185" s="1" t="s">
        <v>20</v>
      </c>
      <c r="J185" s="1" t="s">
        <v>862</v>
      </c>
      <c r="K185" s="1" t="s">
        <v>22</v>
      </c>
      <c r="L185" s="1" t="str">
        <f>HYPERLINK("https://files.afu.se/Downloads/Transcripts/0%20-%20Government/USA%20-%20NASA%20Kennedy/2021 02 05 - NASA's Kennedy Space Center - Artemis I Booster Stacking_3Zps8MPTfOY - transcript (automated).pdf","Transcript Link")</f>
        <v>Transcript Link</v>
      </c>
      <c r="M185" s="2" t="str">
        <f>HYPERLINK("https://files.afu.se/Downloads/Transcripts/0%20-%20Government/USA%20-%20NASA%20Kennedy/2021 02 05 - NASA's Kennedy Space Center - Artemis I Booster Stacking_3Zps8MPTfOY - transcript (automated).pdf","Transcript Link")</f>
        <v>Transcript Link</v>
      </c>
    </row>
    <row r="186" ht="180" spans="1:13">
      <c r="A186" s="1" t="s">
        <v>858</v>
      </c>
      <c r="B186" s="1" t="s">
        <v>13</v>
      </c>
      <c r="C186" s="4" t="s">
        <v>863</v>
      </c>
      <c r="D186" s="1" t="s">
        <v>864</v>
      </c>
      <c r="E186" s="1" t="s">
        <v>865</v>
      </c>
      <c r="F186" s="4" t="s">
        <v>17</v>
      </c>
      <c r="G186" s="1" t="s">
        <v>18</v>
      </c>
      <c r="H186" s="1" t="s">
        <v>19</v>
      </c>
      <c r="I186" s="1" t="s">
        <v>20</v>
      </c>
      <c r="J186" s="1" t="s">
        <v>866</v>
      </c>
      <c r="K186" s="1" t="s">
        <v>22</v>
      </c>
      <c r="L186" s="1" t="str">
        <f>HYPERLINK("https://files.afu.se/Downloads/Transcripts/0%20-%20Government/USA%20-%20NASA%20Kennedy/2021 02 05 - NASA's Kennedy Space Center - Inside KSC! for February 5, 2021_7m8E3mI8KQ8 - transcript (automated).pdf","Transcript Link")</f>
        <v>Transcript Link</v>
      </c>
      <c r="M186" s="2" t="str">
        <f>HYPERLINK("https://files.afu.se/Downloads/Transcripts/0%20-%20Government/USA%20-%20NASA%20Kennedy/2021 02 05 - NASA's Kennedy Space Center - Inside KSC! for February 5, 2021_7m8E3mI8KQ8 - transcript (automated).pdf","Transcript Link")</f>
        <v>Transcript Link</v>
      </c>
    </row>
    <row r="187" ht="180" spans="1:13">
      <c r="A187" s="1" t="s">
        <v>858</v>
      </c>
      <c r="B187" s="1" t="s">
        <v>13</v>
      </c>
      <c r="C187" s="4" t="s">
        <v>867</v>
      </c>
      <c r="D187" s="1" t="s">
        <v>868</v>
      </c>
      <c r="E187" s="1" t="s">
        <v>869</v>
      </c>
      <c r="F187" s="4" t="s">
        <v>17</v>
      </c>
      <c r="G187" s="1" t="s">
        <v>18</v>
      </c>
      <c r="H187" s="1" t="s">
        <v>19</v>
      </c>
      <c r="I187" s="1" t="s">
        <v>20</v>
      </c>
      <c r="J187" s="1" t="s">
        <v>870</v>
      </c>
      <c r="K187" s="1" t="s">
        <v>22</v>
      </c>
      <c r="L187" s="1">
        <v>0</v>
      </c>
      <c r="M187" s="2">
        <v>0</v>
      </c>
    </row>
    <row r="188" ht="180" spans="1:13">
      <c r="A188" s="1" t="s">
        <v>871</v>
      </c>
      <c r="B188" s="1" t="s">
        <v>13</v>
      </c>
      <c r="C188" s="4" t="s">
        <v>872</v>
      </c>
      <c r="D188" s="1" t="s">
        <v>873</v>
      </c>
      <c r="E188" s="1" t="s">
        <v>874</v>
      </c>
      <c r="F188" s="4" t="s">
        <v>17</v>
      </c>
      <c r="G188" s="1" t="s">
        <v>18</v>
      </c>
      <c r="H188" s="1" t="s">
        <v>19</v>
      </c>
      <c r="I188" s="1" t="s">
        <v>20</v>
      </c>
      <c r="J188" s="1" t="s">
        <v>875</v>
      </c>
      <c r="K188" s="1" t="s">
        <v>22</v>
      </c>
      <c r="L188" s="1" t="str">
        <f>HYPERLINK("https://files.afu.se/Downloads/Transcripts/0%20-%20Government/USA%20-%20NASA%20Kennedy/2021 02 03 - NASA's Kennedy Space Center - Artemis I Hardware Arrives_HJkfrYYh5Yc - transcript (automated).pdf","Transcript Link")</f>
        <v>Transcript Link</v>
      </c>
      <c r="M188" s="2" t="str">
        <f>HYPERLINK("https://files.afu.se/Downloads/Transcripts/0%20-%20Government/USA%20-%20NASA%20Kennedy/2021 02 03 - NASA's Kennedy Space Center - Artemis I Hardware Arrives_HJkfrYYh5Yc - transcript (automated).pdf","Transcript Link")</f>
        <v>Transcript Link</v>
      </c>
    </row>
    <row r="189" ht="180" spans="1:13">
      <c r="A189" s="1" t="s">
        <v>876</v>
      </c>
      <c r="B189" s="1" t="s">
        <v>13</v>
      </c>
      <c r="C189" s="4" t="s">
        <v>877</v>
      </c>
      <c r="D189" s="1" t="s">
        <v>878</v>
      </c>
      <c r="E189" s="1" t="s">
        <v>879</v>
      </c>
      <c r="F189" s="4" t="s">
        <v>17</v>
      </c>
      <c r="G189" s="1" t="s">
        <v>18</v>
      </c>
      <c r="H189" s="1" t="s">
        <v>19</v>
      </c>
      <c r="I189" s="1" t="s">
        <v>20</v>
      </c>
      <c r="J189" s="1" t="s">
        <v>880</v>
      </c>
      <c r="K189" s="1" t="s">
        <v>22</v>
      </c>
      <c r="L189" s="1" t="str">
        <f>HYPERLINK("https://files.afu.se/Downloads/Transcripts/0%20-%20Government/USA%20-%20NASA%20Kennedy/2021 01 29 - NASA's Kennedy Space Center - Inside KSC! for Jan. 29, 2021_oW1E_mG0SFg - transcript (automated).pdf","Transcript Link")</f>
        <v>Transcript Link</v>
      </c>
      <c r="M189" s="2" t="str">
        <f>HYPERLINK("https://files.afu.se/Downloads/Transcripts/0%20-%20Government/USA%20-%20NASA%20Kennedy/2021 01 29 - NASA's Kennedy Space Center - Inside KSC! for Jan. 29, 2021_oW1E_mG0SFg - transcript (automated).pdf","Transcript Link")</f>
        <v>Transcript Link</v>
      </c>
    </row>
    <row r="190" ht="180" spans="1:13">
      <c r="A190" s="1" t="s">
        <v>881</v>
      </c>
      <c r="B190" s="1" t="s">
        <v>13</v>
      </c>
      <c r="C190" s="4" t="s">
        <v>882</v>
      </c>
      <c r="D190" s="1" t="s">
        <v>883</v>
      </c>
      <c r="E190" s="1" t="s">
        <v>884</v>
      </c>
      <c r="F190" s="4" t="s">
        <v>17</v>
      </c>
      <c r="G190" s="1" t="s">
        <v>18</v>
      </c>
      <c r="H190" s="1" t="s">
        <v>19</v>
      </c>
      <c r="I190" s="1" t="s">
        <v>20</v>
      </c>
      <c r="J190" s="1" t="s">
        <v>885</v>
      </c>
      <c r="K190" s="1" t="s">
        <v>22</v>
      </c>
      <c r="L190" s="1" t="str">
        <f>HYPERLINK("https://files.afu.se/Downloads/Transcripts/0%20-%20Government/USA%20-%20NASA%20Kennedy/2021 01 26 - NASA's Kennedy Space Center - Rocket Ranch Episode 25  Lessons of Loss_4qhiGm2Df3A - transcript (automated).pdf","Transcript Link")</f>
        <v>Transcript Link</v>
      </c>
      <c r="M190" s="2" t="str">
        <f>HYPERLINK("https://files.afu.se/Downloads/Transcripts/0%20-%20Government/USA%20-%20NASA%20Kennedy/2021 01 26 - NASA's Kennedy Space Center - Rocket Ranch Episode 25  Lessons of Loss_4qhiGm2Df3A - transcript (automated).pdf","Transcript Link")</f>
        <v>Transcript Link</v>
      </c>
    </row>
    <row r="191" ht="240" spans="1:13">
      <c r="A191" s="1" t="s">
        <v>886</v>
      </c>
      <c r="B191" s="1" t="s">
        <v>13</v>
      </c>
      <c r="C191" s="4" t="s">
        <v>887</v>
      </c>
      <c r="D191" s="1" t="s">
        <v>888</v>
      </c>
      <c r="E191" s="1" t="s">
        <v>889</v>
      </c>
      <c r="F191" s="4" t="s">
        <v>17</v>
      </c>
      <c r="G191" s="1" t="s">
        <v>18</v>
      </c>
      <c r="H191" s="1" t="s">
        <v>19</v>
      </c>
      <c r="I191" s="1" t="s">
        <v>20</v>
      </c>
      <c r="J191" s="1" t="s">
        <v>890</v>
      </c>
      <c r="K191" s="1" t="s">
        <v>22</v>
      </c>
      <c r="L191" s="1" t="str">
        <f>HYPERLINK("https://files.afu.se/Downloads/Transcripts/0%20-%20Government/USA%20-%20NASA%20Kennedy/2021 01 22 - NASA's Kennedy Space Center - Inside KSC! for Jan. 22, 2021_stxg0mGXlQ8 - transcript (automated).pdf","Transcript Link")</f>
        <v>Transcript Link</v>
      </c>
      <c r="M191" s="2" t="str">
        <f>HYPERLINK("https://files.afu.se/Downloads/Transcripts/0%20-%20Government/USA%20-%20NASA%20Kennedy/2021 01 22 - NASA's Kennedy Space Center - Inside KSC! for Jan. 22, 2021_stxg0mGXlQ8 - transcript (automated).pdf","Transcript Link")</f>
        <v>Transcript Link</v>
      </c>
    </row>
    <row r="192" ht="180" spans="1:13">
      <c r="A192" s="1" t="s">
        <v>891</v>
      </c>
      <c r="B192" s="1" t="s">
        <v>13</v>
      </c>
      <c r="C192" s="4" t="s">
        <v>892</v>
      </c>
      <c r="D192" s="1" t="s">
        <v>893</v>
      </c>
      <c r="F192" s="4" t="s">
        <v>17</v>
      </c>
      <c r="G192" s="1" t="s">
        <v>18</v>
      </c>
      <c r="H192" s="1" t="s">
        <v>19</v>
      </c>
      <c r="I192" s="1" t="s">
        <v>20</v>
      </c>
      <c r="J192" s="1" t="s">
        <v>894</v>
      </c>
      <c r="K192" s="1" t="s">
        <v>22</v>
      </c>
      <c r="L192" s="1" t="str">
        <f>HYPERLINK("https://files.afu.se/Downloads/Transcripts/0%20-%20Government/USA%20-%20NASA%20Kennedy/2021 01 20 - NASA's Kennedy Space Center - Artemis I  Orion Path to the Pad - Lift Onto Transporter and O&amp;C Departure_IyWE_CIbqRU - transcript (automated).pdf","Transcript Link")</f>
        <v>Transcript Link</v>
      </c>
      <c r="M192" s="2" t="str">
        <f>HYPERLINK("https://files.afu.se/Downloads/Transcripts/0%20-%20Government/USA%20-%20NASA%20Kennedy/2021 01 20 - NASA's Kennedy Space Center - Artemis I  Orion Path to the Pad - Lift Onto Transporter and O&amp;C Departure_IyWE_CIbqRU - transcript (automated).pdf","Transcript Link")</f>
        <v>Transcript Link</v>
      </c>
    </row>
    <row r="193" ht="180" spans="1:13">
      <c r="A193" s="1" t="s">
        <v>891</v>
      </c>
      <c r="B193" s="1" t="s">
        <v>13</v>
      </c>
      <c r="C193" s="4" t="s">
        <v>895</v>
      </c>
      <c r="D193" s="1" t="s">
        <v>896</v>
      </c>
      <c r="F193" s="4" t="s">
        <v>17</v>
      </c>
      <c r="G193" s="1" t="s">
        <v>18</v>
      </c>
      <c r="H193" s="1" t="s">
        <v>19</v>
      </c>
      <c r="I193" s="1" t="s">
        <v>20</v>
      </c>
      <c r="J193" s="1" t="s">
        <v>897</v>
      </c>
      <c r="K193" s="1" t="s">
        <v>22</v>
      </c>
      <c r="L193" s="1" t="str">
        <f>HYPERLINK("https://files.afu.se/Downloads/Transcripts/0%20-%20Government/USA%20-%20NASA%20Kennedy/2021 01 20 - NASA's Kennedy Space Center - Artemis I  Orion Path to the Pad - Transport from O&amp;C to MPPF_WL7mhmjOeEg - transcript (automated).pdf","Transcript Link")</f>
        <v>Transcript Link</v>
      </c>
      <c r="M193" s="2" t="str">
        <f>HYPERLINK("https://files.afu.se/Downloads/Transcripts/0%20-%20Government/USA%20-%20NASA%20Kennedy/2021 01 20 - NASA's Kennedy Space Center - Artemis I  Orion Path to the Pad - Transport from O&amp;C to MPPF_WL7mhmjOeEg - transcript (automated).pdf","Transcript Link")</f>
        <v>Transcript Link</v>
      </c>
    </row>
    <row r="194" ht="180" spans="1:13">
      <c r="A194" s="1" t="s">
        <v>898</v>
      </c>
      <c r="B194" s="1" t="s">
        <v>13</v>
      </c>
      <c r="C194" s="4" t="s">
        <v>899</v>
      </c>
      <c r="D194" s="1" t="s">
        <v>900</v>
      </c>
      <c r="E194" s="1" t="s">
        <v>901</v>
      </c>
      <c r="F194" s="4" t="s">
        <v>17</v>
      </c>
      <c r="G194" s="1" t="s">
        <v>18</v>
      </c>
      <c r="H194" s="1" t="s">
        <v>19</v>
      </c>
      <c r="I194" s="1" t="s">
        <v>20</v>
      </c>
      <c r="J194" s="1" t="s">
        <v>902</v>
      </c>
      <c r="K194" s="1" t="s">
        <v>22</v>
      </c>
      <c r="L194" s="1" t="str">
        <f>HYPERLINK("https://files.afu.se/Downloads/Transcripts/0%20-%20Government/USA%20-%20NASA%20Kennedy/2021 01 15 - NASA's Kennedy Space Center - Inside KSC! for Jan. 15, 2021_qtI3Sn5bZTw - transcript (automated).pdf","Transcript Link")</f>
        <v>Transcript Link</v>
      </c>
      <c r="M194" s="2" t="str">
        <f>HYPERLINK("https://files.afu.se/Downloads/Transcripts/0%20-%20Government/USA%20-%20NASA%20Kennedy/2021 01 15 - NASA's Kennedy Space Center - Inside KSC! for Jan. 15, 2021_qtI3Sn5bZTw - transcript (automated).pdf","Transcript Link")</f>
        <v>Transcript Link</v>
      </c>
    </row>
    <row r="195" ht="180" spans="1:13">
      <c r="A195" s="1" t="s">
        <v>903</v>
      </c>
      <c r="B195" s="1" t="s">
        <v>13</v>
      </c>
      <c r="C195" s="4" t="s">
        <v>904</v>
      </c>
      <c r="D195" s="1" t="s">
        <v>905</v>
      </c>
      <c r="E195" s="1" t="s">
        <v>906</v>
      </c>
      <c r="F195" s="4" t="s">
        <v>17</v>
      </c>
      <c r="G195" s="1" t="s">
        <v>18</v>
      </c>
      <c r="H195" s="1" t="s">
        <v>19</v>
      </c>
      <c r="I195" s="1" t="s">
        <v>20</v>
      </c>
      <c r="J195" s="1" t="s">
        <v>907</v>
      </c>
      <c r="K195" s="1" t="s">
        <v>22</v>
      </c>
      <c r="L195" s="1" t="str">
        <f>HYPERLINK("https://files.afu.se/Downloads/Transcripts/0%20-%20Government/USA%20-%20NASA%20Kennedy/2021 01 08 - NASA's Kennedy Space Center - Inside KSC  Jan. 8, 2021_ffUx_QK8Njk - transcript (automated).pdf","Transcript Link")</f>
        <v>Transcript Link</v>
      </c>
      <c r="M195" s="2" t="str">
        <f>HYPERLINK("https://files.afu.se/Downloads/Transcripts/0%20-%20Government/USA%20-%20NASA%20Kennedy/2021 01 08 - NASA's Kennedy Space Center - Inside KSC  Jan. 8, 2021_ffUx_QK8Njk - transcript (automated).pdf","Transcript Link")</f>
        <v>Transcript Link</v>
      </c>
    </row>
    <row r="196" ht="180" spans="1:13">
      <c r="A196" s="1" t="s">
        <v>908</v>
      </c>
      <c r="B196" s="1" t="s">
        <v>13</v>
      </c>
      <c r="C196" s="4" t="s">
        <v>909</v>
      </c>
      <c r="D196" s="1" t="s">
        <v>910</v>
      </c>
      <c r="E196" s="1" t="s">
        <v>911</v>
      </c>
      <c r="F196" s="4" t="s">
        <v>17</v>
      </c>
      <c r="G196" s="1" t="s">
        <v>18</v>
      </c>
      <c r="H196" s="1" t="s">
        <v>19</v>
      </c>
      <c r="I196" s="1" t="s">
        <v>20</v>
      </c>
      <c r="J196" s="1" t="s">
        <v>912</v>
      </c>
      <c r="K196" s="1" t="s">
        <v>22</v>
      </c>
      <c r="L196" s="1" t="str">
        <f>HYPERLINK("https://files.afu.se/Downloads/Transcripts/0%20-%20Government/USA%20-%20NASA%20Kennedy/2020 12 22 - NASA's Kennedy Space Center - Artemis Path to the Pad  The Mobile Launcher and Launch Pad 39B_UbndtdZT_4U - transcript (automated).pdf","Transcript Link")</f>
        <v>Transcript Link</v>
      </c>
      <c r="M196" s="2" t="str">
        <f>HYPERLINK("https://files.afu.se/Downloads/Transcripts/0%20-%20Government/USA%20-%20NASA%20Kennedy/2020 12 22 - NASA's Kennedy Space Center - Artemis Path to the Pad  The Mobile Launcher and Launch Pad 39B_UbndtdZT_4U - transcript (automated).pdf","Transcript Link")</f>
        <v>Transcript Link</v>
      </c>
    </row>
    <row r="197" ht="180" spans="1:13">
      <c r="A197" s="1" t="s">
        <v>913</v>
      </c>
      <c r="B197" s="1" t="s">
        <v>13</v>
      </c>
      <c r="C197" s="4" t="s">
        <v>914</v>
      </c>
      <c r="D197" s="1" t="s">
        <v>915</v>
      </c>
      <c r="E197" s="1" t="s">
        <v>916</v>
      </c>
      <c r="F197" s="4" t="s">
        <v>17</v>
      </c>
      <c r="G197" s="1" t="s">
        <v>18</v>
      </c>
      <c r="H197" s="1" t="s">
        <v>19</v>
      </c>
      <c r="I197" s="1" t="s">
        <v>20</v>
      </c>
      <c r="J197" s="1" t="s">
        <v>917</v>
      </c>
      <c r="K197" s="1" t="s">
        <v>22</v>
      </c>
      <c r="L197" s="1" t="str">
        <f>HYPERLINK("https://files.afu.se/Downloads/Transcripts/0%20-%20Government/USA%20-%20NASA%20Kennedy/2020 12 18 - NASA's Kennedy Space Center - Inside KSC! for Dec. 18, 2020_MQOrzEJnWo0 - transcript (automated).pdf","Transcript Link")</f>
        <v>Transcript Link</v>
      </c>
      <c r="M197" s="2" t="str">
        <f>HYPERLINK("https://files.afu.se/Downloads/Transcripts/0%20-%20Government/USA%20-%20NASA%20Kennedy/2020 12 18 - NASA's Kennedy Space Center - Inside KSC! for Dec. 18, 2020_MQOrzEJnWo0 - transcript (automated).pdf","Transcript Link")</f>
        <v>Transcript Link</v>
      </c>
    </row>
    <row r="198" ht="210" spans="1:13">
      <c r="A198" s="1" t="s">
        <v>918</v>
      </c>
      <c r="B198" s="1" t="s">
        <v>13</v>
      </c>
      <c r="C198" s="4" t="s">
        <v>919</v>
      </c>
      <c r="D198" s="1" t="s">
        <v>920</v>
      </c>
      <c r="E198" s="1" t="s">
        <v>921</v>
      </c>
      <c r="F198" s="4" t="s">
        <v>17</v>
      </c>
      <c r="G198" s="1" t="s">
        <v>18</v>
      </c>
      <c r="H198" s="1" t="s">
        <v>19</v>
      </c>
      <c r="I198" s="1" t="s">
        <v>20</v>
      </c>
      <c r="J198" s="1" t="s">
        <v>922</v>
      </c>
      <c r="K198" s="1" t="s">
        <v>22</v>
      </c>
      <c r="L198" s="1" t="str">
        <f>HYPERLINK("https://files.afu.se/Downloads/Transcripts/0%20-%20Government/USA%20-%20NASA%20Kennedy/2020 12 17 - NASA's Kennedy Space Center - In-Situ Resource Utilization  #NASAatHome  Spaceport Series_Yd8j6nRqvDk - transcript (automated).pdf","Transcript Link")</f>
        <v>Transcript Link</v>
      </c>
      <c r="M198" s="2" t="str">
        <f>HYPERLINK("https://files.afu.se/Downloads/Transcripts/0%20-%20Government/USA%20-%20NASA%20Kennedy/2020 12 17 - NASA's Kennedy Space Center - In-Situ Resource Utilization  #NASAatHome  Spaceport Series_Yd8j6nRqvDk - transcript (automated).pdf","Transcript Link")</f>
        <v>Transcript Link</v>
      </c>
    </row>
    <row r="199" ht="390" spans="1:13">
      <c r="A199" s="1" t="s">
        <v>923</v>
      </c>
      <c r="B199" s="1" t="s">
        <v>13</v>
      </c>
      <c r="C199" s="4" t="s">
        <v>924</v>
      </c>
      <c r="D199" s="1" t="s">
        <v>925</v>
      </c>
      <c r="E199" s="1" t="s">
        <v>926</v>
      </c>
      <c r="F199" s="4" t="s">
        <v>17</v>
      </c>
      <c r="G199" s="1" t="s">
        <v>18</v>
      </c>
      <c r="H199" s="1" t="s">
        <v>19</v>
      </c>
      <c r="I199" s="1" t="s">
        <v>20</v>
      </c>
      <c r="J199" s="1" t="s">
        <v>927</v>
      </c>
      <c r="K199" s="1" t="s">
        <v>22</v>
      </c>
      <c r="L199" s="1" t="str">
        <f>HYPERLINK("https://files.afu.se/Downloads/Transcripts/0%20-%20Government/USA%20-%20NASA%20Kennedy/2020 12 16 - NASA's Kennedy Space Center - Greenhouse in Antarctica Helping Astronauts on Long-Duration Missions_8GS00U76ADo - transcript (automated).pdf","Transcript Link")</f>
        <v>Transcript Link</v>
      </c>
      <c r="M199" s="2" t="str">
        <f>HYPERLINK("https://files.afu.se/Downloads/Transcripts/0%20-%20Government/USA%20-%20NASA%20Kennedy/2020 12 16 - NASA's Kennedy Space Center - Greenhouse in Antarctica Helping Astronauts on Long-Duration Missions_8GS00U76ADo - transcript (automated).pdf","Transcript Link")</f>
        <v>Transcript Link</v>
      </c>
    </row>
    <row r="200" ht="180" spans="1:13">
      <c r="A200" s="1" t="s">
        <v>923</v>
      </c>
      <c r="B200" s="1" t="s">
        <v>13</v>
      </c>
      <c r="C200" s="4" t="s">
        <v>928</v>
      </c>
      <c r="D200" s="1" t="s">
        <v>929</v>
      </c>
      <c r="E200" s="1" t="s">
        <v>930</v>
      </c>
      <c r="F200" s="4" t="s">
        <v>17</v>
      </c>
      <c r="G200" s="1" t="s">
        <v>18</v>
      </c>
      <c r="H200" s="1" t="s">
        <v>19</v>
      </c>
      <c r="I200" s="1" t="s">
        <v>20</v>
      </c>
      <c r="J200" s="1" t="s">
        <v>931</v>
      </c>
      <c r="K200" s="1" t="s">
        <v>22</v>
      </c>
      <c r="L200" s="1" t="str">
        <f>HYPERLINK("https://files.afu.se/Downloads/Transcripts/0%20-%20Government/USA%20-%20NASA%20Kennedy/2020 12 16 - NASA's Kennedy Space Center - Artemis Path to the Pad  Testing, software and the Launch Control Center_k8MxCQJ9dy0 - transcript (automated).pdf","Transcript Link")</f>
        <v>Transcript Link</v>
      </c>
      <c r="M200" s="2" t="str">
        <f>HYPERLINK("https://files.afu.se/Downloads/Transcripts/0%20-%20Government/USA%20-%20NASA%20Kennedy/2020 12 16 - NASA's Kennedy Space Center - Artemis Path to the Pad  Testing, software and the Launch Control Center_k8MxCQJ9dy0 - transcript (automated).pdf","Transcript Link")</f>
        <v>Transcript Link</v>
      </c>
    </row>
    <row r="201" ht="180" spans="1:13">
      <c r="A201" s="1" t="s">
        <v>932</v>
      </c>
      <c r="B201" s="1" t="s">
        <v>13</v>
      </c>
      <c r="C201" s="4" t="s">
        <v>933</v>
      </c>
      <c r="D201" s="1" t="s">
        <v>934</v>
      </c>
      <c r="E201" s="1" t="s">
        <v>935</v>
      </c>
      <c r="F201" s="4" t="s">
        <v>17</v>
      </c>
      <c r="G201" s="1" t="s">
        <v>18</v>
      </c>
      <c r="H201" s="1" t="s">
        <v>19</v>
      </c>
      <c r="I201" s="1" t="s">
        <v>20</v>
      </c>
      <c r="J201" s="1" t="s">
        <v>936</v>
      </c>
      <c r="K201" s="1" t="s">
        <v>22</v>
      </c>
      <c r="L201" s="1" t="str">
        <f>HYPERLINK("https://files.afu.se/Downloads/Transcripts/0%20-%20Government/USA%20-%20NASA%20Kennedy/2020 12 11 - NASA's Kennedy Space Center - Inside KSC! for Dec. 11, 2020_EGB7vR4AXSE - transcript (automated).pdf","Transcript Link")</f>
        <v>Transcript Link</v>
      </c>
      <c r="M201" s="2" t="str">
        <f>HYPERLINK("https://files.afu.se/Downloads/Transcripts/0%20-%20Government/USA%20-%20NASA%20Kennedy/2020 12 11 - NASA's Kennedy Space Center - Inside KSC! for Dec. 11, 2020_EGB7vR4AXSE - transcript (automated).pdf","Transcript Link")</f>
        <v>Transcript Link</v>
      </c>
    </row>
    <row r="202" ht="180" spans="1:13">
      <c r="A202" s="1" t="s">
        <v>937</v>
      </c>
      <c r="B202" s="1" t="s">
        <v>13</v>
      </c>
      <c r="C202" s="4" t="s">
        <v>938</v>
      </c>
      <c r="D202" s="1" t="s">
        <v>939</v>
      </c>
      <c r="E202" s="1" t="s">
        <v>940</v>
      </c>
      <c r="F202" s="4" t="s">
        <v>17</v>
      </c>
      <c r="G202" s="1" t="s">
        <v>18</v>
      </c>
      <c r="H202" s="1" t="s">
        <v>19</v>
      </c>
      <c r="I202" s="1" t="s">
        <v>20</v>
      </c>
      <c r="J202" s="1" t="s">
        <v>941</v>
      </c>
      <c r="K202" s="1" t="s">
        <v>22</v>
      </c>
      <c r="L202" s="1" t="str">
        <f>HYPERLINK("https://files.afu.se/Downloads/Transcripts/0%20-%20Government/USA%20-%20NASA%20Kennedy/2020 12 10 - NASA's Kennedy Space Center - Artemis Path to the Pad  Artemis at Kennedy Space Center_KlQxwtDNJoQ - transcript (automated).pdf","Transcript Link")</f>
        <v>Transcript Link</v>
      </c>
      <c r="M202" s="2" t="str">
        <f>HYPERLINK("https://files.afu.se/Downloads/Transcripts/0%20-%20Government/USA%20-%20NASA%20Kennedy/2020 12 10 - NASA's Kennedy Space Center - Artemis Path to the Pad  Artemis at Kennedy Space Center_KlQxwtDNJoQ - transcript (automated).pdf","Transcript Link")</f>
        <v>Transcript Link</v>
      </c>
    </row>
    <row r="203" ht="180" spans="1:13">
      <c r="A203" s="1" t="s">
        <v>942</v>
      </c>
      <c r="B203" s="1" t="s">
        <v>13</v>
      </c>
      <c r="C203" s="4" t="s">
        <v>943</v>
      </c>
      <c r="D203" s="1" t="s">
        <v>944</v>
      </c>
      <c r="E203" s="1" t="s">
        <v>945</v>
      </c>
      <c r="F203" s="4" t="s">
        <v>17</v>
      </c>
      <c r="G203" s="1" t="s">
        <v>18</v>
      </c>
      <c r="H203" s="1" t="s">
        <v>19</v>
      </c>
      <c r="I203" s="1" t="s">
        <v>20</v>
      </c>
      <c r="J203" s="1" t="s">
        <v>946</v>
      </c>
      <c r="K203" s="1" t="s">
        <v>22</v>
      </c>
      <c r="L203" s="1" t="str">
        <f>HYPERLINK("https://files.afu.se/Downloads/Transcripts/0%20-%20Government/USA%20-%20NASA%20Kennedy/2020 12 08 - NASA's Kennedy Space Center - Exploration Ground Systems  #NASAatHome  Spaceport Series_gVAtIW7KMzQ - transcript (automated).pdf","Transcript Link")</f>
        <v>Transcript Link</v>
      </c>
      <c r="M203" s="2" t="str">
        <f>HYPERLINK("https://files.afu.se/Downloads/Transcripts/0%20-%20Government/USA%20-%20NASA%20Kennedy/2020 12 08 - NASA's Kennedy Space Center - Exploration Ground Systems  #NASAatHome  Spaceport Series_gVAtIW7KMzQ - transcript (automated).pdf","Transcript Link")</f>
        <v>Transcript Link</v>
      </c>
    </row>
    <row r="204" ht="180" spans="1:13">
      <c r="A204" s="1" t="s">
        <v>947</v>
      </c>
      <c r="B204" s="1" t="s">
        <v>13</v>
      </c>
      <c r="C204" s="4" t="s">
        <v>948</v>
      </c>
      <c r="D204" s="1" t="s">
        <v>949</v>
      </c>
      <c r="E204" s="1" t="s">
        <v>950</v>
      </c>
      <c r="F204" s="4" t="s">
        <v>17</v>
      </c>
      <c r="G204" s="1" t="s">
        <v>18</v>
      </c>
      <c r="H204" s="1" t="s">
        <v>19</v>
      </c>
      <c r="I204" s="1" t="s">
        <v>20</v>
      </c>
      <c r="J204" s="1" t="s">
        <v>951</v>
      </c>
      <c r="K204" s="1" t="s">
        <v>22</v>
      </c>
      <c r="L204" s="1" t="str">
        <f>HYPERLINK("https://files.afu.se/Downloads/Transcripts/0%20-%20Government/USA%20-%20NASA%20Kennedy/2020 12 06 - NASA's Kennedy Space Center - CRS-21 Executes Second Stage Separation_fG86A99PvvU - transcript (automated).pdf","Transcript Link")</f>
        <v>Transcript Link</v>
      </c>
      <c r="M204" s="2" t="str">
        <f>HYPERLINK("https://files.afu.se/Downloads/Transcripts/0%20-%20Government/USA%20-%20NASA%20Kennedy/2020 12 06 - NASA's Kennedy Space Center - CRS-21 Executes Second Stage Separation_fG86A99PvvU - transcript (automated).pdf","Transcript Link")</f>
        <v>Transcript Link</v>
      </c>
    </row>
    <row r="205" ht="180" spans="1:13">
      <c r="A205" s="1" t="s">
        <v>947</v>
      </c>
      <c r="B205" s="1" t="s">
        <v>13</v>
      </c>
      <c r="C205" s="4" t="s">
        <v>952</v>
      </c>
      <c r="D205" s="1" t="s">
        <v>953</v>
      </c>
      <c r="E205" s="1" t="s">
        <v>954</v>
      </c>
      <c r="F205" s="4" t="s">
        <v>17</v>
      </c>
      <c r="G205" s="1" t="s">
        <v>18</v>
      </c>
      <c r="H205" s="1" t="s">
        <v>19</v>
      </c>
      <c r="I205" s="1" t="s">
        <v>20</v>
      </c>
      <c r="J205" s="1" t="s">
        <v>955</v>
      </c>
      <c r="K205" s="1" t="s">
        <v>22</v>
      </c>
      <c r="L205" s="1" t="str">
        <f>HYPERLINK("https://files.afu.se/Downloads/Transcripts/0%20-%20Government/USA%20-%20NASA%20Kennedy/2020 12 06 - NASA's Kennedy Space Center - Final Countdown and Liftoff on the CRS-21 Mission!_1U6xbpYRia8 - transcript (automated).pdf","Transcript Link")</f>
        <v>Transcript Link</v>
      </c>
      <c r="M205" s="2" t="str">
        <f>HYPERLINK("https://files.afu.se/Downloads/Transcripts/0%20-%20Government/USA%20-%20NASA%20Kennedy/2020 12 06 - NASA's Kennedy Space Center - Final Countdown and Liftoff on the CRS-21 Mission!_1U6xbpYRia8 - transcript (automated).pdf","Transcript Link")</f>
        <v>Transcript Link</v>
      </c>
    </row>
    <row r="206" ht="180" spans="1:13">
      <c r="A206" s="1" t="s">
        <v>947</v>
      </c>
      <c r="B206" s="1" t="s">
        <v>13</v>
      </c>
      <c r="C206" s="4" t="s">
        <v>956</v>
      </c>
      <c r="D206" s="1" t="s">
        <v>957</v>
      </c>
      <c r="E206" s="1" t="s">
        <v>958</v>
      </c>
      <c r="F206" s="4" t="s">
        <v>17</v>
      </c>
      <c r="G206" s="1" t="s">
        <v>18</v>
      </c>
      <c r="H206" s="1" t="s">
        <v>19</v>
      </c>
      <c r="I206" s="1" t="s">
        <v>20</v>
      </c>
      <c r="J206" s="1" t="s">
        <v>959</v>
      </c>
      <c r="K206" s="1" t="s">
        <v>22</v>
      </c>
      <c r="L206" s="1" t="str">
        <f>HYPERLINK("https://files.afu.se/Downloads/Transcripts/0%20-%20Government/USA%20-%20NASA%20Kennedy/2020 12 06 - NASA's Kennedy Space Center - CRS-21 Broadcast Begins at NASA's Kennedy Space Center_EZrliokfWVk - transcript (automated).pdf","Transcript Link")</f>
        <v>Transcript Link</v>
      </c>
      <c r="M206" s="2" t="str">
        <f>HYPERLINK("https://files.afu.se/Downloads/Transcripts/0%20-%20Government/USA%20-%20NASA%20Kennedy/2020 12 06 - NASA's Kennedy Space Center - CRS-21 Broadcast Begins at NASA's Kennedy Space Center_EZrliokfWVk - transcript (automated).pdf","Transcript Link")</f>
        <v>Transcript Link</v>
      </c>
    </row>
    <row r="207" ht="180" spans="1:13">
      <c r="A207" s="1" t="s">
        <v>960</v>
      </c>
      <c r="B207" s="1" t="s">
        <v>13</v>
      </c>
      <c r="C207" s="4" t="s">
        <v>961</v>
      </c>
      <c r="D207" s="1" t="s">
        <v>962</v>
      </c>
      <c r="E207" s="1" t="s">
        <v>963</v>
      </c>
      <c r="F207" s="4" t="s">
        <v>17</v>
      </c>
      <c r="G207" s="1" t="s">
        <v>18</v>
      </c>
      <c r="H207" s="1" t="s">
        <v>19</v>
      </c>
      <c r="I207" s="1" t="s">
        <v>20</v>
      </c>
      <c r="J207" s="1" t="s">
        <v>964</v>
      </c>
      <c r="K207" s="1" t="s">
        <v>22</v>
      </c>
      <c r="L207" s="1" t="str">
        <f>HYPERLINK("https://files.afu.se/Downloads/Transcripts/0%20-%20Government/USA%20-%20NASA%20Kennedy/2020 12 04 - NASA's Kennedy Space Center - SpaceX CRS-21  El primer lanzamiento en su tipo_8mqwMq90CgU - transcript (automated).pdf","Transcript Link")</f>
        <v>Transcript Link</v>
      </c>
      <c r="M207" s="2" t="str">
        <f>HYPERLINK("https://files.afu.se/Downloads/Transcripts/0%20-%20Government/USA%20-%20NASA%20Kennedy/2020 12 04 - NASA's Kennedy Space Center - SpaceX CRS-21  El primer lanzamiento en su tipo_8mqwMq90CgU - transcript (automated).pdf","Transcript Link")</f>
        <v>Transcript Link</v>
      </c>
    </row>
    <row r="208" ht="210" spans="1:13">
      <c r="A208" s="1" t="s">
        <v>960</v>
      </c>
      <c r="B208" s="1" t="s">
        <v>13</v>
      </c>
      <c r="C208" s="4" t="s">
        <v>965</v>
      </c>
      <c r="D208" s="1" t="s">
        <v>966</v>
      </c>
      <c r="E208" s="1" t="s">
        <v>967</v>
      </c>
      <c r="F208" s="4" t="s">
        <v>17</v>
      </c>
      <c r="G208" s="1" t="s">
        <v>18</v>
      </c>
      <c r="H208" s="1" t="s">
        <v>19</v>
      </c>
      <c r="I208" s="1" t="s">
        <v>20</v>
      </c>
      <c r="J208" s="1" t="s">
        <v>968</v>
      </c>
      <c r="K208" s="1" t="s">
        <v>22</v>
      </c>
      <c r="L208" s="1" t="str">
        <f>HYPERLINK("https://files.afu.se/Downloads/Transcripts/0%20-%20Government/USA%20-%20NASA%20Kennedy/2020 12 04 - NASA's Kennedy Space Center - Inside KSC! December 4, 2020_enxy1mpwzeo - transcript (automated).pdf","Transcript Link")</f>
        <v>Transcript Link</v>
      </c>
      <c r="M208" s="2" t="str">
        <f>HYPERLINK("https://files.afu.se/Downloads/Transcripts/0%20-%20Government/USA%20-%20NASA%20Kennedy/2020 12 04 - NASA's Kennedy Space Center - Inside KSC! December 4, 2020_enxy1mpwzeo - transcript (automated).pdf","Transcript Link")</f>
        <v>Transcript Link</v>
      </c>
    </row>
    <row r="209" ht="180" spans="1:13">
      <c r="A209" s="1" t="s">
        <v>960</v>
      </c>
      <c r="B209" s="1" t="s">
        <v>13</v>
      </c>
      <c r="C209" s="4" t="s">
        <v>969</v>
      </c>
      <c r="D209" s="1" t="s">
        <v>970</v>
      </c>
      <c r="E209" s="1" t="s">
        <v>971</v>
      </c>
      <c r="F209" s="4" t="s">
        <v>17</v>
      </c>
      <c r="G209" s="1" t="s">
        <v>18</v>
      </c>
      <c r="H209" s="1" t="s">
        <v>19</v>
      </c>
      <c r="I209" s="1" t="s">
        <v>20</v>
      </c>
      <c r="J209" s="1" t="s">
        <v>972</v>
      </c>
      <c r="K209" s="1" t="s">
        <v>22</v>
      </c>
      <c r="L209" s="1" t="str">
        <f>HYPERLINK("https://files.afu.se/Downloads/Transcripts/0%20-%20Government/USA%20-%20NASA%20Kennedy/2020 12 04 - NASA's Kennedy Space Center - SpaceX's CRS-21  The First of its Kind_ZdobdzBO-3k - transcript (automated).pdf","Transcript Link")</f>
        <v>Transcript Link</v>
      </c>
      <c r="M209" s="2" t="str">
        <f>HYPERLINK("https://files.afu.se/Downloads/Transcripts/0%20-%20Government/USA%20-%20NASA%20Kennedy/2020 12 04 - NASA's Kennedy Space Center - SpaceX's CRS-21  The First of its Kind_ZdobdzBO-3k - transcript (automated).pdf","Transcript Link")</f>
        <v>Transcript Link</v>
      </c>
    </row>
    <row r="210" ht="180" spans="1:13">
      <c r="A210" s="1" t="s">
        <v>973</v>
      </c>
      <c r="B210" s="1" t="s">
        <v>13</v>
      </c>
      <c r="C210" s="4" t="s">
        <v>974</v>
      </c>
      <c r="D210" s="1" t="s">
        <v>975</v>
      </c>
      <c r="E210" s="1" t="s">
        <v>976</v>
      </c>
      <c r="F210" s="4" t="s">
        <v>17</v>
      </c>
      <c r="G210" s="1" t="s">
        <v>18</v>
      </c>
      <c r="H210" s="1" t="s">
        <v>19</v>
      </c>
      <c r="I210" s="1" t="s">
        <v>20</v>
      </c>
      <c r="J210" s="1" t="s">
        <v>977</v>
      </c>
      <c r="K210" s="1" t="s">
        <v>22</v>
      </c>
      <c r="L210" s="1" t="str">
        <f>HYPERLINK("https://files.afu.se/Downloads/Transcripts/0%20-%20Government/USA%20-%20NASA%20Kennedy/2020 11 21 - NASA's Kennedy Space Center - Sentinel-6 Michael Freilich Launch  Interview with Omar Baez_2NzzfQ0ehcU - transcript (automated).pdf","Transcript Link")</f>
        <v>Transcript Link</v>
      </c>
      <c r="M210" s="2" t="str">
        <f>HYPERLINK("https://files.afu.se/Downloads/Transcripts/0%20-%20Government/USA%20-%20NASA%20Kennedy/2020 11 21 - NASA's Kennedy Space Center - Sentinel-6 Michael Freilich Launch  Interview with Omar Baez_2NzzfQ0ehcU - transcript (automated).pdf","Transcript Link")</f>
        <v>Transcript Link</v>
      </c>
    </row>
    <row r="211" ht="180" spans="1:13">
      <c r="A211" s="1" t="s">
        <v>973</v>
      </c>
      <c r="B211" s="1" t="s">
        <v>13</v>
      </c>
      <c r="C211" s="4" t="s">
        <v>978</v>
      </c>
      <c r="D211" s="1" t="s">
        <v>979</v>
      </c>
      <c r="E211" s="1" t="s">
        <v>980</v>
      </c>
      <c r="F211" s="4" t="s">
        <v>17</v>
      </c>
      <c r="G211" s="1" t="s">
        <v>18</v>
      </c>
      <c r="H211" s="1" t="s">
        <v>19</v>
      </c>
      <c r="I211" s="1" t="s">
        <v>20</v>
      </c>
      <c r="J211" s="1" t="s">
        <v>981</v>
      </c>
      <c r="K211" s="1" t="s">
        <v>22</v>
      </c>
      <c r="L211" s="1" t="str">
        <f>HYPERLINK("https://files.afu.se/Downloads/Transcripts/0%20-%20Government/USA%20-%20NASA%20Kennedy/2020 11 21 - NASA's Kennedy Space Center - Sentinel-6 Michael Freilich Spacecraft Separation_EK-edpLvDwo - transcript (automated).pdf","Transcript Link")</f>
        <v>Transcript Link</v>
      </c>
      <c r="M211" s="2" t="str">
        <f>HYPERLINK("https://files.afu.se/Downloads/Transcripts/0%20-%20Government/USA%20-%20NASA%20Kennedy/2020 11 21 - NASA's Kennedy Space Center - Sentinel-6 Michael Freilich Spacecraft Separation_EK-edpLvDwo - transcript (automated).pdf","Transcript Link")</f>
        <v>Transcript Link</v>
      </c>
    </row>
    <row r="212" ht="180" spans="1:13">
      <c r="A212" s="1" t="s">
        <v>973</v>
      </c>
      <c r="B212" s="1" t="s">
        <v>13</v>
      </c>
      <c r="C212" s="4" t="s">
        <v>982</v>
      </c>
      <c r="D212" s="1" t="s">
        <v>983</v>
      </c>
      <c r="E212" s="1" t="s">
        <v>984</v>
      </c>
      <c r="F212" s="4" t="s">
        <v>17</v>
      </c>
      <c r="G212" s="1" t="s">
        <v>18</v>
      </c>
      <c r="H212" s="1" t="s">
        <v>19</v>
      </c>
      <c r="I212" s="1" t="s">
        <v>20</v>
      </c>
      <c r="J212" s="1" t="s">
        <v>985</v>
      </c>
      <c r="K212" s="1" t="s">
        <v>22</v>
      </c>
      <c r="L212" s="1" t="str">
        <f>HYPERLINK("https://files.afu.se/Downloads/Transcripts/0%20-%20Government/USA%20-%20NASA%20Kennedy/2020 11 21 - NASA's Kennedy Space Center - Liftoff of the Sentinel-6 Michael Freilich Satellite_Em01wT-X7QQ - transcript (automated).pdf","Transcript Link")</f>
        <v>Transcript Link</v>
      </c>
      <c r="M212" s="2" t="str">
        <f>HYPERLINK("https://files.afu.se/Downloads/Transcripts/0%20-%20Government/USA%20-%20NASA%20Kennedy/2020 11 21 - NASA's Kennedy Space Center - Liftoff of the Sentinel-6 Michael Freilich Satellite_Em01wT-X7QQ - transcript (automated).pdf","Transcript Link")</f>
        <v>Transcript Link</v>
      </c>
    </row>
    <row r="213" ht="180" spans="1:13">
      <c r="A213" s="1" t="s">
        <v>973</v>
      </c>
      <c r="B213" s="1" t="s">
        <v>13</v>
      </c>
      <c r="C213" s="4" t="s">
        <v>986</v>
      </c>
      <c r="D213" s="1" t="s">
        <v>987</v>
      </c>
      <c r="E213" s="1" t="s">
        <v>988</v>
      </c>
      <c r="F213" s="4" t="s">
        <v>17</v>
      </c>
      <c r="G213" s="1" t="s">
        <v>18</v>
      </c>
      <c r="H213" s="1" t="s">
        <v>19</v>
      </c>
      <c r="I213" s="1" t="s">
        <v>20</v>
      </c>
      <c r="J213" s="1" t="s">
        <v>989</v>
      </c>
      <c r="K213" s="1" t="s">
        <v>22</v>
      </c>
      <c r="L213" s="1" t="str">
        <f>HYPERLINK("https://files.afu.se/Downloads/Transcripts/0%20-%20Government/USA%20-%20NASA%20Kennedy/2020 11 21 - NASA's Kennedy Space Center - Sentinel-6 Michael Freilich Launch Broadcast Begins_4RHwkZLOmMQ - transcript (automated).pdf","Transcript Link")</f>
        <v>Transcript Link</v>
      </c>
      <c r="M213" s="2" t="str">
        <f>HYPERLINK("https://files.afu.se/Downloads/Transcripts/0%20-%20Government/USA%20-%20NASA%20Kennedy/2020 11 21 - NASA's Kennedy Space Center - Sentinel-6 Michael Freilich Launch Broadcast Begins_4RHwkZLOmMQ - transcript (automated).pdf","Transcript Link")</f>
        <v>Transcript Link</v>
      </c>
    </row>
    <row r="214" ht="180" spans="1:13">
      <c r="A214" s="1" t="s">
        <v>990</v>
      </c>
      <c r="B214" s="1" t="s">
        <v>13</v>
      </c>
      <c r="C214" s="4" t="s">
        <v>991</v>
      </c>
      <c r="D214" s="1" t="s">
        <v>992</v>
      </c>
      <c r="E214" s="1" t="s">
        <v>993</v>
      </c>
      <c r="F214" s="4" t="s">
        <v>17</v>
      </c>
      <c r="G214" s="1" t="s">
        <v>18</v>
      </c>
      <c r="H214" s="1" t="s">
        <v>19</v>
      </c>
      <c r="I214" s="1" t="s">
        <v>20</v>
      </c>
      <c r="J214" s="1" t="s">
        <v>994</v>
      </c>
      <c r="K214" s="1" t="s">
        <v>22</v>
      </c>
      <c r="L214" s="1" t="str">
        <f>HYPERLINK("https://files.afu.se/Downloads/Transcripts/0%20-%20Government/USA%20-%20NASA%20Kennedy/2020 11 20 - NASA's Kennedy Space Center - Inside KSC! for Nov. 20, 2020_wbcWwbIlaO8 - transcript (automated).pdf","Transcript Link")</f>
        <v>Transcript Link</v>
      </c>
      <c r="M214" s="2" t="str">
        <f>HYPERLINK("https://files.afu.se/Downloads/Transcripts/0%20-%20Government/USA%20-%20NASA%20Kennedy/2020 11 20 - NASA's Kennedy Space Center - Inside KSC! for Nov. 20, 2020_wbcWwbIlaO8 - transcript (automated).pdf","Transcript Link")</f>
        <v>Transcript Link</v>
      </c>
    </row>
    <row r="215" ht="180" spans="1:13">
      <c r="A215" s="1" t="s">
        <v>995</v>
      </c>
      <c r="B215" s="1" t="s">
        <v>13</v>
      </c>
      <c r="C215" s="4" t="s">
        <v>996</v>
      </c>
      <c r="D215" s="1" t="s">
        <v>997</v>
      </c>
      <c r="E215" s="1" t="s">
        <v>998</v>
      </c>
      <c r="F215" s="4" t="s">
        <v>17</v>
      </c>
      <c r="G215" s="1" t="s">
        <v>18</v>
      </c>
      <c r="H215" s="1" t="s">
        <v>19</v>
      </c>
      <c r="I215" s="1" t="s">
        <v>20</v>
      </c>
      <c r="J215" s="1" t="s">
        <v>999</v>
      </c>
      <c r="K215" s="1" t="s">
        <v>22</v>
      </c>
      <c r="L215" s="1" t="str">
        <f>HYPERLINK("https://files.afu.se/Downloads/Transcripts/0%20-%20Government/USA%20-%20NASA%20Kennedy/2020 11 16 - NASA's Kennedy Space Center - NASA's SpaceX Crew-1  Liftoff_WTEOcKhwAi4 - transcript (automated).pdf","Transcript Link")</f>
        <v>Transcript Link</v>
      </c>
      <c r="M215" s="2" t="str">
        <f>HYPERLINK("https://files.afu.se/Downloads/Transcripts/0%20-%20Government/USA%20-%20NASA%20Kennedy/2020 11 16 - NASA's Kennedy Space Center - NASA's SpaceX Crew-1  Liftoff_WTEOcKhwAi4 - transcript (automated).pdf","Transcript Link")</f>
        <v>Transcript Link</v>
      </c>
    </row>
    <row r="216" ht="180" spans="1:13">
      <c r="A216" s="1" t="s">
        <v>1000</v>
      </c>
      <c r="B216" s="1" t="s">
        <v>13</v>
      </c>
      <c r="C216" s="4" t="s">
        <v>1001</v>
      </c>
      <c r="D216" s="1" t="s">
        <v>1002</v>
      </c>
      <c r="E216" s="1" t="s">
        <v>1003</v>
      </c>
      <c r="F216" s="4" t="s">
        <v>17</v>
      </c>
      <c r="G216" s="1" t="s">
        <v>18</v>
      </c>
      <c r="H216" s="1" t="s">
        <v>19</v>
      </c>
      <c r="I216" s="1" t="s">
        <v>20</v>
      </c>
      <c r="J216" s="1" t="s">
        <v>1004</v>
      </c>
      <c r="K216" s="1" t="s">
        <v>22</v>
      </c>
      <c r="L216" s="1" t="str">
        <f>HYPERLINK("https://files.afu.se/Downloads/Transcripts/0%20-%20Government/USA%20-%20NASA%20Kennedy/2020 11 15 - NASA's Kennedy Space Center - NASA's SpaceX Crew-1  Astronaut Walkout_9hw6SBiJ2Ns - transcript (automated).pdf","Transcript Link")</f>
        <v>Transcript Link</v>
      </c>
      <c r="M216" s="2" t="str">
        <f>HYPERLINK("https://files.afu.se/Downloads/Transcripts/0%20-%20Government/USA%20-%20NASA%20Kennedy/2020 11 15 - NASA's Kennedy Space Center - NASA's SpaceX Crew-1  Astronaut Walkout_9hw6SBiJ2Ns - transcript (automated).pdf","Transcript Link")</f>
        <v>Transcript Link</v>
      </c>
    </row>
    <row r="217" ht="180" spans="1:13">
      <c r="A217" s="1" t="s">
        <v>1000</v>
      </c>
      <c r="B217" s="1" t="s">
        <v>13</v>
      </c>
      <c r="C217" s="4" t="s">
        <v>1005</v>
      </c>
      <c r="D217" s="1" t="s">
        <v>1006</v>
      </c>
      <c r="E217" s="1" t="s">
        <v>1007</v>
      </c>
      <c r="F217" s="4" t="s">
        <v>17</v>
      </c>
      <c r="G217" s="1" t="s">
        <v>18</v>
      </c>
      <c r="H217" s="1" t="s">
        <v>19</v>
      </c>
      <c r="I217" s="1" t="s">
        <v>20</v>
      </c>
      <c r="J217" s="1" t="s">
        <v>1008</v>
      </c>
      <c r="K217" s="1" t="s">
        <v>22</v>
      </c>
      <c r="L217" s="1" t="str">
        <f>HYPERLINK("https://files.afu.se/Downloads/Transcripts/0%20-%20Government/USA%20-%20NASA%20Kennedy/2020 11 15 - NASA's Kennedy Space Center - NASA's SpaceX Crew-1  Astronauts Suit Up for Launch_8B404g4vgEE - transcript (automated).pdf","Transcript Link")</f>
        <v>Transcript Link</v>
      </c>
      <c r="M217" s="2" t="str">
        <f>HYPERLINK("https://files.afu.se/Downloads/Transcripts/0%20-%20Government/USA%20-%20NASA%20Kennedy/2020 11 15 - NASA's Kennedy Space Center - NASA's SpaceX Crew-1  Astronauts Suit Up for Launch_8B404g4vgEE - transcript (automated).pdf","Transcript Link")</f>
        <v>Transcript Link</v>
      </c>
    </row>
    <row r="218" ht="180" spans="1:13">
      <c r="A218" s="1" t="s">
        <v>1000</v>
      </c>
      <c r="B218" s="1" t="s">
        <v>13</v>
      </c>
      <c r="C218" s="4" t="s">
        <v>1009</v>
      </c>
      <c r="D218" s="1" t="s">
        <v>1010</v>
      </c>
      <c r="E218" s="1" t="s">
        <v>1011</v>
      </c>
      <c r="F218" s="4" t="s">
        <v>17</v>
      </c>
      <c r="G218" s="1" t="s">
        <v>18</v>
      </c>
      <c r="H218" s="1" t="s">
        <v>19</v>
      </c>
      <c r="I218" s="1" t="s">
        <v>20</v>
      </c>
      <c r="J218" s="1" t="s">
        <v>1012</v>
      </c>
      <c r="K218" s="1" t="s">
        <v>22</v>
      </c>
      <c r="L218" s="1" t="str">
        <f>HYPERLINK("https://files.afu.se/Downloads/Transcripts/0%20-%20Government/USA%20-%20NASA%20Kennedy/2020 11 15 - NASA's Kennedy Space Center - NASA's SpaceX Crew-1  Launch Broadcast Begins_15vPL00MLqs - transcript (automated).pdf","Transcript Link")</f>
        <v>Transcript Link</v>
      </c>
      <c r="M218" s="2" t="str">
        <f>HYPERLINK("https://files.afu.se/Downloads/Transcripts/0%20-%20Government/USA%20-%20NASA%20Kennedy/2020 11 15 - NASA's Kennedy Space Center - NASA's SpaceX Crew-1  Launch Broadcast Begins_15vPL00MLqs - transcript (automated).pdf","Transcript Link")</f>
        <v>Transcript Link</v>
      </c>
    </row>
    <row r="219" ht="180" spans="1:13">
      <c r="A219" s="1" t="s">
        <v>1013</v>
      </c>
      <c r="B219" s="1" t="s">
        <v>13</v>
      </c>
      <c r="C219" s="4" t="s">
        <v>1014</v>
      </c>
      <c r="D219" s="1" t="s">
        <v>1015</v>
      </c>
      <c r="E219" s="1" t="s">
        <v>1016</v>
      </c>
      <c r="F219" s="4" t="s">
        <v>17</v>
      </c>
      <c r="G219" s="1" t="s">
        <v>18</v>
      </c>
      <c r="H219" s="1" t="s">
        <v>19</v>
      </c>
      <c r="I219" s="1" t="s">
        <v>20</v>
      </c>
      <c r="J219" s="1" t="s">
        <v>1017</v>
      </c>
      <c r="K219" s="1" t="s">
        <v>22</v>
      </c>
      <c r="L219" s="1" t="str">
        <f>HYPERLINK("https://files.afu.se/Downloads/Transcripts/0%20-%20Government/USA%20-%20NASA%20Kennedy/2020 11 13 - NASA's Kennedy Space Center - Inside KSC! for Nov. 13, 2020_kQhpiUcGkkY - transcript (automated).pdf","Transcript Link")</f>
        <v>Transcript Link</v>
      </c>
      <c r="M219" s="2" t="str">
        <f>HYPERLINK("https://files.afu.se/Downloads/Transcripts/0%20-%20Government/USA%20-%20NASA%20Kennedy/2020 11 13 - NASA's Kennedy Space Center - Inside KSC! for Nov. 13, 2020_kQhpiUcGkkY - transcript (automated).pdf","Transcript Link")</f>
        <v>Transcript Link</v>
      </c>
    </row>
    <row r="220" ht="180" spans="1:13">
      <c r="A220" s="1" t="s">
        <v>1013</v>
      </c>
      <c r="B220" s="1" t="s">
        <v>13</v>
      </c>
      <c r="C220" s="4" t="s">
        <v>1018</v>
      </c>
      <c r="D220" s="1" t="s">
        <v>1019</v>
      </c>
      <c r="E220" s="1" t="s">
        <v>1020</v>
      </c>
      <c r="F220" s="4" t="s">
        <v>17</v>
      </c>
      <c r="G220" s="1" t="s">
        <v>18</v>
      </c>
      <c r="H220" s="1" t="s">
        <v>19</v>
      </c>
      <c r="I220" s="1" t="s">
        <v>20</v>
      </c>
      <c r="J220" s="1" t="s">
        <v>1021</v>
      </c>
      <c r="K220" s="1" t="s">
        <v>22</v>
      </c>
      <c r="L220" s="1" t="str">
        <f>HYPERLINK("https://files.afu.se/Downloads/Transcripts/0%20-%20Government/USA%20-%20NASA%20Kennedy/2020 11 13 - NASA's Kennedy Space Center - Crew-1 Virtual NASA Social  Countdown Clock Show_Z0R9RgAYItE - transcript (automated).pdf","Transcript Link")</f>
        <v>Transcript Link</v>
      </c>
      <c r="M220" s="2" t="str">
        <f>HYPERLINK("https://files.afu.se/Downloads/Transcripts/0%20-%20Government/USA%20-%20NASA%20Kennedy/2020 11 13 - NASA's Kennedy Space Center - Crew-1 Virtual NASA Social  Countdown Clock Show_Z0R9RgAYItE - transcript (automated).pdf","Transcript Link")</f>
        <v>Transcript Link</v>
      </c>
    </row>
    <row r="221" ht="180" spans="1:13">
      <c r="A221" s="1" t="s">
        <v>1022</v>
      </c>
      <c r="B221" s="1" t="s">
        <v>13</v>
      </c>
      <c r="C221" s="4" t="s">
        <v>1023</v>
      </c>
      <c r="D221" s="1" t="s">
        <v>1024</v>
      </c>
      <c r="E221" s="1" t="s">
        <v>1025</v>
      </c>
      <c r="F221" s="4" t="s">
        <v>17</v>
      </c>
      <c r="G221" s="1" t="s">
        <v>18</v>
      </c>
      <c r="H221" s="1" t="s">
        <v>19</v>
      </c>
      <c r="I221" s="1" t="s">
        <v>20</v>
      </c>
      <c r="J221" s="1" t="s">
        <v>1026</v>
      </c>
      <c r="K221" s="1" t="s">
        <v>22</v>
      </c>
      <c r="L221" s="1">
        <v>0</v>
      </c>
      <c r="M221" s="2">
        <v>0</v>
      </c>
    </row>
    <row r="222" ht="195" spans="1:13">
      <c r="A222" s="1" t="s">
        <v>1027</v>
      </c>
      <c r="B222" s="1" t="s">
        <v>13</v>
      </c>
      <c r="C222" s="4" t="s">
        <v>1028</v>
      </c>
      <c r="D222" s="1" t="s">
        <v>1029</v>
      </c>
      <c r="E222" s="1" t="s">
        <v>1030</v>
      </c>
      <c r="F222" s="4" t="s">
        <v>17</v>
      </c>
      <c r="G222" s="1" t="s">
        <v>18</v>
      </c>
      <c r="H222" s="1" t="s">
        <v>19</v>
      </c>
      <c r="I222" s="1" t="s">
        <v>20</v>
      </c>
      <c r="J222" s="1" t="s">
        <v>1031</v>
      </c>
      <c r="K222" s="1" t="s">
        <v>22</v>
      </c>
      <c r="L222" s="1" t="str">
        <f>HYPERLINK("https://files.afu.se/Downloads/Transcripts/0%20-%20Government/USA%20-%20NASA%20Kennedy/2020 11 05 - NASA's Kennedy Space Center - Inside KSC! for Nov. 6, 2020_zvFW9i93B2U - transcript (automated).pdf","Transcript Link")</f>
        <v>Transcript Link</v>
      </c>
      <c r="M222" s="2" t="str">
        <f>HYPERLINK("https://files.afu.se/Downloads/Transcripts/0%20-%20Government/USA%20-%20NASA%20Kennedy/2020 11 05 - NASA's Kennedy Space Center - Inside KSC! for Nov. 6, 2020_zvFW9i93B2U - transcript (automated).pdf","Transcript Link")</f>
        <v>Transcript Link</v>
      </c>
    </row>
    <row r="223" ht="180" spans="1:13">
      <c r="A223" s="1" t="s">
        <v>1032</v>
      </c>
      <c r="B223" s="1" t="s">
        <v>13</v>
      </c>
      <c r="C223" s="4" t="s">
        <v>1033</v>
      </c>
      <c r="D223" s="1" t="s">
        <v>1034</v>
      </c>
      <c r="E223" s="1" t="s">
        <v>1035</v>
      </c>
      <c r="F223" s="4" t="s">
        <v>17</v>
      </c>
      <c r="G223" s="1" t="s">
        <v>18</v>
      </c>
      <c r="H223" s="1" t="s">
        <v>19</v>
      </c>
      <c r="I223" s="1" t="s">
        <v>20</v>
      </c>
      <c r="J223" s="1" t="s">
        <v>1036</v>
      </c>
      <c r="K223" s="1" t="s">
        <v>22</v>
      </c>
      <c r="L223" s="1" t="str">
        <f>HYPERLINK("https://files.afu.se/Downloads/Transcripts/0%20-%20Government/USA%20-%20NASA%20Kennedy/2020 11 02 - NASA's Kennedy Space Center - Partnering with NASA_2uRBfj75IQY - transcript (automated).pdf","Transcript Link")</f>
        <v>Transcript Link</v>
      </c>
      <c r="M223" s="2" t="str">
        <f>HYPERLINK("https://files.afu.se/Downloads/Transcripts/0%20-%20Government/USA%20-%20NASA%20Kennedy/2020 11 02 - NASA's Kennedy Space Center - Partnering with NASA_2uRBfj75IQY - transcript (automated).pdf","Transcript Link")</f>
        <v>Transcript Link</v>
      </c>
    </row>
    <row r="224" ht="180" spans="1:13">
      <c r="A224" s="1" t="s">
        <v>1037</v>
      </c>
      <c r="B224" s="1" t="s">
        <v>13</v>
      </c>
      <c r="C224" s="4" t="s">
        <v>1038</v>
      </c>
      <c r="D224" s="1" t="s">
        <v>1039</v>
      </c>
      <c r="E224" s="1" t="s">
        <v>1040</v>
      </c>
      <c r="F224" s="4" t="s">
        <v>17</v>
      </c>
      <c r="G224" s="1" t="s">
        <v>18</v>
      </c>
      <c r="H224" s="1" t="s">
        <v>19</v>
      </c>
      <c r="I224" s="1" t="s">
        <v>20</v>
      </c>
      <c r="J224" s="1" t="s">
        <v>1041</v>
      </c>
      <c r="K224" s="1" t="s">
        <v>22</v>
      </c>
      <c r="L224" s="1" t="str">
        <f>HYPERLINK("https://files.afu.se/Downloads/Transcripts/0%20-%20Government/USA%20-%20NASA%20Kennedy/2020 10 30 - NASA's Kennedy Space Center - Inside KSC! for Oct. 30, 2020_xSA3GQOOgAQ - transcript (automated).pdf","Transcript Link")</f>
        <v>Transcript Link</v>
      </c>
      <c r="M224" s="2" t="str">
        <f>HYPERLINK("https://files.afu.se/Downloads/Transcripts/0%20-%20Government/USA%20-%20NASA%20Kennedy/2020 10 30 - NASA's Kennedy Space Center - Inside KSC! for Oct. 30, 2020_xSA3GQOOgAQ - transcript (automated).pdf","Transcript Link")</f>
        <v>Transcript Link</v>
      </c>
    </row>
    <row r="225" ht="180" spans="1:13">
      <c r="A225" s="1" t="s">
        <v>1042</v>
      </c>
      <c r="B225" s="1" t="s">
        <v>13</v>
      </c>
      <c r="C225" s="4" t="s">
        <v>1043</v>
      </c>
      <c r="D225" s="1" t="s">
        <v>1044</v>
      </c>
      <c r="E225" s="1" t="s">
        <v>1045</v>
      </c>
      <c r="F225" s="4" t="s">
        <v>17</v>
      </c>
      <c r="G225" s="1" t="s">
        <v>18</v>
      </c>
      <c r="H225" s="1" t="s">
        <v>19</v>
      </c>
      <c r="I225" s="1" t="s">
        <v>20</v>
      </c>
      <c r="J225" s="1" t="s">
        <v>1046</v>
      </c>
      <c r="K225" s="1" t="s">
        <v>22</v>
      </c>
      <c r="L225" s="1" t="str">
        <f>HYPERLINK("https://files.afu.se/Downloads/Transcripts/0%20-%20Government/USA%20-%20NASA%20Kennedy/2020 10 29 - NASA's Kennedy Space Center - Artemis I Booster Processing_aePzJ8XpwZo - transcript (automated).pdf","Transcript Link")</f>
        <v>Transcript Link</v>
      </c>
      <c r="M225" s="2" t="str">
        <f>HYPERLINK("https://files.afu.se/Downloads/Transcripts/0%20-%20Government/USA%20-%20NASA%20Kennedy/2020 10 29 - NASA's Kennedy Space Center - Artemis I Booster Processing_aePzJ8XpwZo - transcript (automated).pdf","Transcript Link")</f>
        <v>Transcript Link</v>
      </c>
    </row>
    <row r="226" ht="195" spans="1:13">
      <c r="A226" s="1" t="s">
        <v>1047</v>
      </c>
      <c r="B226" s="1" t="s">
        <v>13</v>
      </c>
      <c r="C226" s="4" t="s">
        <v>1048</v>
      </c>
      <c r="D226" s="1" t="s">
        <v>1049</v>
      </c>
      <c r="E226" s="1" t="s">
        <v>1050</v>
      </c>
      <c r="F226" s="4" t="s">
        <v>17</v>
      </c>
      <c r="G226" s="1" t="s">
        <v>18</v>
      </c>
      <c r="H226" s="1" t="s">
        <v>19</v>
      </c>
      <c r="I226" s="1" t="s">
        <v>20</v>
      </c>
      <c r="J226" s="1" t="s">
        <v>1051</v>
      </c>
      <c r="K226" s="1" t="s">
        <v>22</v>
      </c>
      <c r="L226" s="1" t="str">
        <f>HYPERLINK("https://files.afu.se/Downloads/Transcripts/0%20-%20Government/USA%20-%20NASA%20Kennedy/2020 10 23 - NASA's Kennedy Space Center - Inside KSC! for Oct. 23, 2020_TVhvvhTCoDc - transcript (automated).pdf","Transcript Link")</f>
        <v>Transcript Link</v>
      </c>
      <c r="M226" s="2" t="str">
        <f>HYPERLINK("https://files.afu.se/Downloads/Transcripts/0%20-%20Government/USA%20-%20NASA%20Kennedy/2020 10 23 - NASA's Kennedy Space Center - Inside KSC! for Oct. 23, 2020_TVhvvhTCoDc - transcript (automated).pdf","Transcript Link")</f>
        <v>Transcript Link</v>
      </c>
    </row>
    <row r="227" ht="180" spans="1:13">
      <c r="A227" s="1" t="s">
        <v>1052</v>
      </c>
      <c r="B227" s="1" t="s">
        <v>13</v>
      </c>
      <c r="C227" s="4" t="s">
        <v>1053</v>
      </c>
      <c r="D227" s="1" t="s">
        <v>1054</v>
      </c>
      <c r="E227" s="1" t="s">
        <v>1055</v>
      </c>
      <c r="F227" s="4" t="s">
        <v>17</v>
      </c>
      <c r="G227" s="1" t="s">
        <v>18</v>
      </c>
      <c r="H227" s="1" t="s">
        <v>19</v>
      </c>
      <c r="I227" s="1" t="s">
        <v>20</v>
      </c>
      <c r="J227" s="1" t="s">
        <v>1056</v>
      </c>
      <c r="K227" s="1" t="s">
        <v>22</v>
      </c>
      <c r="L227" s="1" t="str">
        <f>HYPERLINK("https://files.afu.se/Downloads/Transcripts/0%20-%20Government/USA%20-%20NASA%20Kennedy/2020 10 22 - NASA's Kennedy Space Center - #NASAatHome Spaceport Series Episode 20  Gateway and Commercial Partnerships_33E3zecrWMA - transcript (automated).pdf","Transcript Link")</f>
        <v>Transcript Link</v>
      </c>
      <c r="M227" s="2" t="str">
        <f>HYPERLINK("https://files.afu.se/Downloads/Transcripts/0%20-%20Government/USA%20-%20NASA%20Kennedy/2020 10 22 - NASA's Kennedy Space Center - #NASAatHome Spaceport Series Episode 20  Gateway and Commercial Partnerships_33E3zecrWMA - transcript (automated).pdf","Transcript Link")</f>
        <v>Transcript Link</v>
      </c>
    </row>
    <row r="228" ht="180" spans="1:13">
      <c r="A228" s="1" t="s">
        <v>1057</v>
      </c>
      <c r="B228" s="1" t="s">
        <v>13</v>
      </c>
      <c r="C228" s="4" t="s">
        <v>1058</v>
      </c>
      <c r="D228" s="1" t="s">
        <v>1059</v>
      </c>
      <c r="E228" s="1" t="s">
        <v>1060</v>
      </c>
      <c r="F228" s="4" t="s">
        <v>17</v>
      </c>
      <c r="G228" s="1" t="s">
        <v>18</v>
      </c>
      <c r="H228" s="1" t="s">
        <v>19</v>
      </c>
      <c r="I228" s="1" t="s">
        <v>20</v>
      </c>
      <c r="J228" s="1" t="s">
        <v>1061</v>
      </c>
      <c r="K228" s="1" t="s">
        <v>22</v>
      </c>
      <c r="L228" s="1" t="str">
        <f>HYPERLINK("https://files.afu.se/Downloads/Transcripts/0%20-%20Government/USA%20-%20NASA%20Kennedy/2020 10 21 - NASA's Kennedy Space Center - Artemis Path to the Pad  Crawler-Transporter 2_pjGB2zGjJpY - transcript (automated).pdf","Transcript Link")</f>
        <v>Transcript Link</v>
      </c>
      <c r="M228" s="2" t="str">
        <f>HYPERLINK("https://files.afu.se/Downloads/Transcripts/0%20-%20Government/USA%20-%20NASA%20Kennedy/2020 10 21 - NASA's Kennedy Space Center - Artemis Path to the Pad  Crawler-Transporter 2_pjGB2zGjJpY - transcript (automated).pdf","Transcript Link")</f>
        <v>Transcript Link</v>
      </c>
    </row>
    <row r="229" ht="180" spans="1:13">
      <c r="A229" s="1" t="s">
        <v>1062</v>
      </c>
      <c r="B229" s="1" t="s">
        <v>13</v>
      </c>
      <c r="C229" s="4" t="s">
        <v>1063</v>
      </c>
      <c r="D229" s="1" t="s">
        <v>1064</v>
      </c>
      <c r="E229" s="1" t="s">
        <v>1065</v>
      </c>
      <c r="F229" s="4" t="s">
        <v>17</v>
      </c>
      <c r="G229" s="1" t="s">
        <v>18</v>
      </c>
      <c r="H229" s="1" t="s">
        <v>19</v>
      </c>
      <c r="I229" s="1" t="s">
        <v>20</v>
      </c>
      <c r="J229" s="1" t="s">
        <v>1066</v>
      </c>
      <c r="K229" s="1" t="s">
        <v>22</v>
      </c>
      <c r="L229" s="1" t="str">
        <f>HYPERLINK("https://files.afu.se/Downloads/Transcripts/0%20-%20Government/USA%20-%20NASA%20Kennedy/2020 10 16 - NASA's Kennedy Space Center - Inside KSC! for Oct. 16, 2020_B-tOYeKgKTM - transcript (automated).pdf","Transcript Link")</f>
        <v>Transcript Link</v>
      </c>
      <c r="M229" s="2" t="str">
        <f>HYPERLINK("https://files.afu.se/Downloads/Transcripts/0%20-%20Government/USA%20-%20NASA%20Kennedy/2020 10 16 - NASA's Kennedy Space Center - Inside KSC! for Oct. 16, 2020_B-tOYeKgKTM - transcript (automated).pdf","Transcript Link")</f>
        <v>Transcript Link</v>
      </c>
    </row>
    <row r="230" ht="210" spans="1:13">
      <c r="A230" s="1" t="s">
        <v>1067</v>
      </c>
      <c r="B230" s="1" t="s">
        <v>13</v>
      </c>
      <c r="C230" s="4" t="s">
        <v>1068</v>
      </c>
      <c r="D230" s="1" t="s">
        <v>1069</v>
      </c>
      <c r="E230" s="1" t="s">
        <v>1070</v>
      </c>
      <c r="F230" s="4" t="s">
        <v>17</v>
      </c>
      <c r="G230" s="1" t="s">
        <v>18</v>
      </c>
      <c r="H230" s="1" t="s">
        <v>19</v>
      </c>
      <c r="I230" s="1" t="s">
        <v>20</v>
      </c>
      <c r="J230" s="1" t="s">
        <v>1071</v>
      </c>
      <c r="K230" s="1" t="s">
        <v>22</v>
      </c>
      <c r="L230" s="1" t="str">
        <f>HYPERLINK("https://files.afu.se/Downloads/Transcripts/0%20-%20Government/USA%20-%20NASA%20Kennedy/2020 10 09 - NASA's Kennedy Space Center - Inside KSC! for Oct. 9, 2020_v9aIFHjQH8Q - transcript (automated).pdf","Transcript Link")</f>
        <v>Transcript Link</v>
      </c>
      <c r="M230" s="2" t="str">
        <f>HYPERLINK("https://files.afu.se/Downloads/Transcripts/0%20-%20Government/USA%20-%20NASA%20Kennedy/2020 10 09 - NASA's Kennedy Space Center - Inside KSC! for Oct. 9, 2020_v9aIFHjQH8Q - transcript (automated).pdf","Transcript Link")</f>
        <v>Transcript Link</v>
      </c>
    </row>
    <row r="231" ht="180" spans="1:13">
      <c r="A231" s="1" t="s">
        <v>1072</v>
      </c>
      <c r="B231" s="1" t="s">
        <v>13</v>
      </c>
      <c r="C231" s="4" t="s">
        <v>1073</v>
      </c>
      <c r="D231" s="1" t="s">
        <v>1074</v>
      </c>
      <c r="E231" s="1" t="s">
        <v>1075</v>
      </c>
      <c r="F231" s="4" t="s">
        <v>17</v>
      </c>
      <c r="G231" s="1" t="s">
        <v>18</v>
      </c>
      <c r="H231" s="1" t="s">
        <v>19</v>
      </c>
      <c r="I231" s="1" t="s">
        <v>20</v>
      </c>
      <c r="J231" s="1" t="s">
        <v>1076</v>
      </c>
      <c r="K231" s="1" t="s">
        <v>22</v>
      </c>
      <c r="L231" s="1" t="str">
        <f>HYPERLINK("https://files.afu.se/Downloads/Transcripts/0%20-%20Government/USA%20-%20NASA%20Kennedy/2020 10 08 - NASA's Kennedy Space Center - #NASAatHome Spaceport Series episode 19  launching and landing a rover on Mars_kZzLaWHtymI - transcript (automated).pdf","Transcript Link")</f>
        <v>Transcript Link</v>
      </c>
      <c r="M231" s="2" t="str">
        <f>HYPERLINK("https://files.afu.se/Downloads/Transcripts/0%20-%20Government/USA%20-%20NASA%20Kennedy/2020 10 08 - NASA's Kennedy Space Center - #NASAatHome Spaceport Series episode 19  launching and landing a rover on Mars_kZzLaWHtymI - transcript (automated).pdf","Transcript Link")</f>
        <v>Transcript Link</v>
      </c>
    </row>
    <row r="232" ht="180" spans="1:13">
      <c r="A232" s="1" t="s">
        <v>1077</v>
      </c>
      <c r="B232" s="1" t="s">
        <v>13</v>
      </c>
      <c r="C232" s="4" t="s">
        <v>1078</v>
      </c>
      <c r="D232" s="1" t="s">
        <v>1079</v>
      </c>
      <c r="E232" s="1" t="s">
        <v>1080</v>
      </c>
      <c r="F232" s="4" t="s">
        <v>17</v>
      </c>
      <c r="G232" s="1" t="s">
        <v>18</v>
      </c>
      <c r="H232" s="1" t="s">
        <v>19</v>
      </c>
      <c r="I232" s="1" t="s">
        <v>20</v>
      </c>
      <c r="J232" s="1" t="s">
        <v>1081</v>
      </c>
      <c r="K232" s="1" t="s">
        <v>22</v>
      </c>
      <c r="L232" s="1" t="str">
        <f>HYPERLINK("https://files.afu.se/Downloads/Transcripts/0%20-%20Government/USA%20-%20NASA%20Kennedy/2020 10 05 - NASA's Kennedy Space Center - Rocket Ranch Episode 24  Space Lullaby_AopLE4SrtCI - transcript (automated).pdf","Transcript Link")</f>
        <v>Transcript Link</v>
      </c>
      <c r="M232" s="2" t="str">
        <f>HYPERLINK("https://files.afu.se/Downloads/Transcripts/0%20-%20Government/USA%20-%20NASA%20Kennedy/2020 10 05 - NASA's Kennedy Space Center - Rocket Ranch Episode 24  Space Lullaby_AopLE4SrtCI - transcript (automated).pdf","Transcript Link")</f>
        <v>Transcript Link</v>
      </c>
    </row>
    <row r="233" ht="180" spans="1:13">
      <c r="A233" s="1" t="s">
        <v>1082</v>
      </c>
      <c r="B233" s="1" t="s">
        <v>13</v>
      </c>
      <c r="C233" s="4" t="s">
        <v>1083</v>
      </c>
      <c r="D233" s="1" t="s">
        <v>1084</v>
      </c>
      <c r="E233" s="1" t="s">
        <v>1085</v>
      </c>
      <c r="F233" s="4" t="s">
        <v>17</v>
      </c>
      <c r="G233" s="1" t="s">
        <v>18</v>
      </c>
      <c r="H233" s="1" t="s">
        <v>19</v>
      </c>
      <c r="I233" s="1" t="s">
        <v>20</v>
      </c>
      <c r="J233" s="1" t="s">
        <v>1086</v>
      </c>
      <c r="K233" s="1" t="s">
        <v>22</v>
      </c>
      <c r="L233" s="1" t="str">
        <f>HYPERLINK("https://files.afu.se/Downloads/Transcripts/0%20-%20Government/USA%20-%20NASA%20Kennedy/2020 10 02 - NASA's Kennedy Space Center - Inside KSC! for Oct. 2, 2020_dIVMY5fPnSI - transcript (automated).pdf","Transcript Link")</f>
        <v>Transcript Link</v>
      </c>
      <c r="M233" s="2" t="str">
        <f>HYPERLINK("https://files.afu.se/Downloads/Transcripts/0%20-%20Government/USA%20-%20NASA%20Kennedy/2020 10 02 - NASA's Kennedy Space Center - Inside KSC! for Oct. 2, 2020_dIVMY5fPnSI - transcript (automated).pdf","Transcript Link")</f>
        <v>Transcript Link</v>
      </c>
    </row>
    <row r="234" ht="360" spans="1:13">
      <c r="A234" s="1" t="s">
        <v>1087</v>
      </c>
      <c r="B234" s="1" t="s">
        <v>13</v>
      </c>
      <c r="C234" s="4" t="s">
        <v>1088</v>
      </c>
      <c r="D234" s="1" t="s">
        <v>1089</v>
      </c>
      <c r="E234" s="1" t="s">
        <v>1090</v>
      </c>
      <c r="F234" s="4" t="s">
        <v>17</v>
      </c>
      <c r="G234" s="1" t="s">
        <v>18</v>
      </c>
      <c r="H234" s="1" t="s">
        <v>19</v>
      </c>
      <c r="I234" s="1" t="s">
        <v>20</v>
      </c>
      <c r="J234" s="1" t="s">
        <v>1091</v>
      </c>
      <c r="K234" s="1" t="s">
        <v>22</v>
      </c>
      <c r="L234" s="1" t="str">
        <f>HYPERLINK("https://files.afu.se/Downloads/Transcripts/0%20-%20Government/USA%20-%20NASA%20Kennedy/2020 09 29 - NASA's Kennedy Space Center - Radish Experiment Ready for Launch_p5jjf-kHcT0 - transcript (automated).pdf","Transcript Link")</f>
        <v>Transcript Link</v>
      </c>
      <c r="M234" s="2" t="str">
        <f>HYPERLINK("https://files.afu.se/Downloads/Transcripts/0%20-%20Government/USA%20-%20NASA%20Kennedy/2020 09 29 - NASA's Kennedy Space Center - Radish Experiment Ready for Launch_p5jjf-kHcT0 - transcript (automated).pdf","Transcript Link")</f>
        <v>Transcript Link</v>
      </c>
    </row>
    <row r="235" ht="180" spans="1:13">
      <c r="A235" s="1" t="s">
        <v>1092</v>
      </c>
      <c r="B235" s="1" t="s">
        <v>13</v>
      </c>
      <c r="C235" s="4" t="s">
        <v>1093</v>
      </c>
      <c r="D235" s="1" t="s">
        <v>1094</v>
      </c>
      <c r="E235" s="1" t="s">
        <v>1095</v>
      </c>
      <c r="F235" s="4" t="s">
        <v>17</v>
      </c>
      <c r="G235" s="1" t="s">
        <v>18</v>
      </c>
      <c r="H235" s="1" t="s">
        <v>19</v>
      </c>
      <c r="I235" s="1" t="s">
        <v>20</v>
      </c>
      <c r="J235" s="1" t="s">
        <v>1096</v>
      </c>
      <c r="K235" s="1" t="s">
        <v>22</v>
      </c>
      <c r="L235" s="1" t="str">
        <f>HYPERLINK("https://files.afu.se/Downloads/Transcripts/0%20-%20Government/USA%20-%20NASA%20Kennedy/2020 09 25 - NASA's Kennedy Space Center - Inside KSC! for Sept. 25, 2020_ODB-oDlf25M - transcript (automated).pdf","Transcript Link")</f>
        <v>Transcript Link</v>
      </c>
      <c r="M235" s="2" t="str">
        <f>HYPERLINK("https://files.afu.se/Downloads/Transcripts/0%20-%20Government/USA%20-%20NASA%20Kennedy/2020 09 25 - NASA's Kennedy Space Center - Inside KSC! for Sept. 25, 2020_ODB-oDlf25M - transcript (automated).pdf","Transcript Link")</f>
        <v>Transcript Link</v>
      </c>
    </row>
    <row r="236" ht="180" spans="1:13">
      <c r="A236" s="1" t="s">
        <v>1097</v>
      </c>
      <c r="B236" s="1" t="s">
        <v>13</v>
      </c>
      <c r="C236" s="4" t="s">
        <v>1098</v>
      </c>
      <c r="D236" s="1" t="s">
        <v>1099</v>
      </c>
      <c r="E236" s="1" t="s">
        <v>1100</v>
      </c>
      <c r="F236" s="4" t="s">
        <v>17</v>
      </c>
      <c r="G236" s="1" t="s">
        <v>18</v>
      </c>
      <c r="H236" s="1" t="s">
        <v>19</v>
      </c>
      <c r="I236" s="1" t="s">
        <v>20</v>
      </c>
      <c r="J236" s="1" t="s">
        <v>1101</v>
      </c>
      <c r="K236" s="1" t="s">
        <v>22</v>
      </c>
      <c r="L236" s="1" t="str">
        <f>HYPERLINK("https://files.afu.se/Downloads/Transcripts/0%20-%20Government/USA%20-%20NASA%20Kennedy/2020 09 24 - NASA's Kennedy Space Center - #NASAatHome Spaceport Series episode 18  NASA's Commercial Crew Program_tBe2A63ipAM - transcript (automated).pdf","Transcript Link")</f>
        <v>Transcript Link</v>
      </c>
      <c r="M236" s="2" t="str">
        <f>HYPERLINK("https://files.afu.se/Downloads/Transcripts/0%20-%20Government/USA%20-%20NASA%20Kennedy/2020 09 24 - NASA's Kennedy Space Center - #NASAatHome Spaceport Series episode 18  NASA's Commercial Crew Program_tBe2A63ipAM - transcript (automated).pdf","Transcript Link")</f>
        <v>Transcript Link</v>
      </c>
    </row>
    <row r="237" ht="180" spans="1:13">
      <c r="A237" s="1" t="s">
        <v>1102</v>
      </c>
      <c r="B237" s="1" t="s">
        <v>13</v>
      </c>
      <c r="C237" s="4" t="s">
        <v>1103</v>
      </c>
      <c r="D237" s="1" t="s">
        <v>1104</v>
      </c>
      <c r="E237" s="1" t="s">
        <v>1105</v>
      </c>
      <c r="F237" s="4" t="s">
        <v>17</v>
      </c>
      <c r="G237" s="1" t="s">
        <v>18</v>
      </c>
      <c r="H237" s="1" t="s">
        <v>19</v>
      </c>
      <c r="I237" s="1" t="s">
        <v>20</v>
      </c>
      <c r="J237" s="1" t="s">
        <v>1106</v>
      </c>
      <c r="K237" s="1" t="s">
        <v>22</v>
      </c>
      <c r="L237" s="1" t="str">
        <f>HYPERLINK("https://files.afu.se/Downloads/Transcripts/0%20-%20Government/USA%20-%20NASA%20Kennedy/2020 09 18 - NASA's Kennedy Space Center - Inside KSC! for Sept. 18, 2020_7r-6M2HVkgE - transcript (automated).pdf","Transcript Link")</f>
        <v>Transcript Link</v>
      </c>
      <c r="M237" s="2" t="str">
        <f>HYPERLINK("https://files.afu.se/Downloads/Transcripts/0%20-%20Government/USA%20-%20NASA%20Kennedy/2020 09 18 - NASA's Kennedy Space Center - Inside KSC! for Sept. 18, 2020_7r-6M2HVkgE - transcript (automated).pdf","Transcript Link")</f>
        <v>Transcript Link</v>
      </c>
    </row>
    <row r="238" ht="270" spans="1:13">
      <c r="A238" s="1" t="s">
        <v>1107</v>
      </c>
      <c r="B238" s="1" t="s">
        <v>13</v>
      </c>
      <c r="C238" s="4" t="s">
        <v>1108</v>
      </c>
      <c r="D238" s="1" t="s">
        <v>1109</v>
      </c>
      <c r="E238" s="1" t="s">
        <v>1110</v>
      </c>
      <c r="F238" s="4" t="s">
        <v>17</v>
      </c>
      <c r="G238" s="1" t="s">
        <v>18</v>
      </c>
      <c r="H238" s="1" t="s">
        <v>19</v>
      </c>
      <c r="I238" s="1" t="s">
        <v>20</v>
      </c>
      <c r="J238" s="1" t="s">
        <v>1111</v>
      </c>
      <c r="K238" s="1" t="s">
        <v>22</v>
      </c>
      <c r="L238" s="1" t="str">
        <f>HYPERLINK("https://files.afu.se/Downloads/Transcripts/0%20-%20Government/USA%20-%20NASA%20Kennedy/2020 09 11 - NASA's Kennedy Space Center - Inside KSC! for Sept. 11, 2020_Pt-hteeok6g - transcript (automated).pdf","Transcript Link")</f>
        <v>Transcript Link</v>
      </c>
      <c r="M238" s="2" t="str">
        <f>HYPERLINK("https://files.afu.se/Downloads/Transcripts/0%20-%20Government/USA%20-%20NASA%20Kennedy/2020 09 11 - NASA's Kennedy Space Center - Inside KSC! for Sept. 11, 2020_Pt-hteeok6g - transcript (automated).pdf","Transcript Link")</f>
        <v>Transcript Link</v>
      </c>
    </row>
    <row r="239" ht="180" spans="1:13">
      <c r="A239" s="1" t="s">
        <v>1112</v>
      </c>
      <c r="B239" s="1" t="s">
        <v>13</v>
      </c>
      <c r="C239" s="4" t="s">
        <v>1113</v>
      </c>
      <c r="D239" s="1" t="s">
        <v>1114</v>
      </c>
      <c r="E239" s="1" t="s">
        <v>1115</v>
      </c>
      <c r="F239" s="4" t="s">
        <v>17</v>
      </c>
      <c r="G239" s="1" t="s">
        <v>18</v>
      </c>
      <c r="H239" s="1" t="s">
        <v>19</v>
      </c>
      <c r="I239" s="1" t="s">
        <v>20</v>
      </c>
      <c r="J239" s="1" t="s">
        <v>1116</v>
      </c>
      <c r="K239" s="1" t="s">
        <v>22</v>
      </c>
      <c r="L239" s="1" t="str">
        <f>HYPERLINK("https://files.afu.se/Downloads/Transcripts/0%20-%20Government/USA%20-%20NASA%20Kennedy/2020 09 04 - NASA's Kennedy Space Center - Inside KSC! for Sept. 4, 2020_wCq9bj0HUic - transcript (automated).pdf","Transcript Link")</f>
        <v>Transcript Link</v>
      </c>
      <c r="M239" s="2" t="str">
        <f>HYPERLINK("https://files.afu.se/Downloads/Transcripts/0%20-%20Government/USA%20-%20NASA%20Kennedy/2020 09 04 - NASA's Kennedy Space Center - Inside KSC! for Sept. 4, 2020_wCq9bj0HUic - transcript (automated).pdf","Transcript Link")</f>
        <v>Transcript Link</v>
      </c>
    </row>
    <row r="240" ht="180" spans="1:13">
      <c r="A240" s="1" t="s">
        <v>1117</v>
      </c>
      <c r="B240" s="1" t="s">
        <v>13</v>
      </c>
      <c r="C240" s="4" t="s">
        <v>1118</v>
      </c>
      <c r="D240" s="1" t="s">
        <v>1119</v>
      </c>
      <c r="E240" s="1" t="s">
        <v>1120</v>
      </c>
      <c r="F240" s="4" t="s">
        <v>17</v>
      </c>
      <c r="G240" s="1" t="s">
        <v>18</v>
      </c>
      <c r="H240" s="1" t="s">
        <v>19</v>
      </c>
      <c r="I240" s="1" t="s">
        <v>20</v>
      </c>
      <c r="J240" s="1" t="s">
        <v>1121</v>
      </c>
      <c r="K240" s="1" t="s">
        <v>22</v>
      </c>
      <c r="L240" s="1" t="str">
        <f>HYPERLINK("https://files.afu.se/Downloads/Transcripts/0%20-%20Government/USA%20-%20NASA%20Kennedy/2020 09 02 - NASA's Kennedy Space Center - Installation of Orion's Spacecraft Adapter Cone Complete_VmE_8F-g1wc - transcript (automated).pdf","Transcript Link")</f>
        <v>Transcript Link</v>
      </c>
      <c r="M240" s="2" t="str">
        <f>HYPERLINK("https://files.afu.se/Downloads/Transcripts/0%20-%20Government/USA%20-%20NASA%20Kennedy/2020 09 02 - NASA's Kennedy Space Center - Installation of Orion's Spacecraft Adapter Cone Complete_VmE_8F-g1wc - transcript (automated).pdf","Transcript Link")</f>
        <v>Transcript Link</v>
      </c>
    </row>
    <row r="241" ht="180" spans="1:13">
      <c r="A241" s="1" t="s">
        <v>1117</v>
      </c>
      <c r="B241" s="1" t="s">
        <v>13</v>
      </c>
      <c r="C241" s="4" t="s">
        <v>1122</v>
      </c>
      <c r="D241" s="1" t="s">
        <v>1123</v>
      </c>
      <c r="E241" s="1" t="s">
        <v>1124</v>
      </c>
      <c r="F241" s="4" t="s">
        <v>17</v>
      </c>
      <c r="G241" s="1" t="s">
        <v>18</v>
      </c>
      <c r="H241" s="1" t="s">
        <v>19</v>
      </c>
      <c r="I241" s="1" t="s">
        <v>20</v>
      </c>
      <c r="J241" s="1" t="s">
        <v>1125</v>
      </c>
      <c r="K241" s="1" t="s">
        <v>22</v>
      </c>
      <c r="L241" s="1" t="str">
        <f>HYPERLINK("https://files.afu.se/Downloads/Transcripts/0%20-%20Government/USA%20-%20NASA%20Kennedy/2020 09 02 - NASA's Kennedy Space Center - Inside KSC! for June 12, 2020_jnKRaTpUAdA - transcript (automated).pdf","Transcript Link")</f>
        <v>Transcript Link</v>
      </c>
      <c r="M241" s="2" t="str">
        <f>HYPERLINK("https://files.afu.se/Downloads/Transcripts/0%20-%20Government/USA%20-%20NASA%20Kennedy/2020 09 02 - NASA's Kennedy Space Center - Inside KSC! for June 12, 2020_jnKRaTpUAdA - transcript (automated).pdf","Transcript Link")</f>
        <v>Transcript Link</v>
      </c>
    </row>
    <row r="242" ht="180" spans="1:13">
      <c r="A242" s="1" t="s">
        <v>1126</v>
      </c>
      <c r="B242" s="1" t="s">
        <v>13</v>
      </c>
      <c r="C242" s="4" t="s">
        <v>1127</v>
      </c>
      <c r="D242" s="1" t="s">
        <v>1128</v>
      </c>
      <c r="E242" s="1" t="s">
        <v>1129</v>
      </c>
      <c r="F242" s="4" t="s">
        <v>17</v>
      </c>
      <c r="G242" s="1" t="s">
        <v>18</v>
      </c>
      <c r="H242" s="1" t="s">
        <v>19</v>
      </c>
      <c r="I242" s="1" t="s">
        <v>20</v>
      </c>
      <c r="J242" s="1" t="s">
        <v>1130</v>
      </c>
      <c r="K242" s="1" t="s">
        <v>22</v>
      </c>
      <c r="L242" s="1" t="str">
        <f>HYPERLINK("https://files.afu.se/Downloads/Transcripts/0%20-%20Government/USA%20-%20NASA%20Kennedy/2020 08 28 - NASA's Kennedy Space Center - Inside KSC! for August 28, 2020_7epFp7QcZaI - transcript (automated).pdf","Transcript Link")</f>
        <v>Transcript Link</v>
      </c>
      <c r="M242" s="2" t="str">
        <f>HYPERLINK("https://files.afu.se/Downloads/Transcripts/0%20-%20Government/USA%20-%20NASA%20Kennedy/2020 08 28 - NASA's Kennedy Space Center - Inside KSC! for August 28, 2020_7epFp7QcZaI - transcript (automated).pdf","Transcript Link")</f>
        <v>Transcript Link</v>
      </c>
    </row>
    <row r="243" ht="180" spans="1:13">
      <c r="A243" s="1" t="s">
        <v>1131</v>
      </c>
      <c r="B243" s="1" t="s">
        <v>13</v>
      </c>
      <c r="C243" s="4" t="s">
        <v>1132</v>
      </c>
      <c r="D243" s="1" t="s">
        <v>1133</v>
      </c>
      <c r="E243" s="1" t="s">
        <v>1134</v>
      </c>
      <c r="F243" s="4" t="s">
        <v>17</v>
      </c>
      <c r="G243" s="1" t="s">
        <v>18</v>
      </c>
      <c r="H243" s="1" t="s">
        <v>19</v>
      </c>
      <c r="I243" s="1" t="s">
        <v>20</v>
      </c>
      <c r="J243" s="1" t="s">
        <v>1135</v>
      </c>
      <c r="K243" s="1" t="s">
        <v>22</v>
      </c>
      <c r="L243" s="1" t="str">
        <f>HYPERLINK("https://files.afu.se/Downloads/Transcripts/0%20-%20Government/USA%20-%20NASA%20Kennedy/2020 08 21 - NASA's Kennedy Space Center - Inside KSC! for August 21, 2020_WZl30DgDohg - transcript (automated).pdf","Transcript Link")</f>
        <v>Transcript Link</v>
      </c>
      <c r="M243" s="2" t="str">
        <f>HYPERLINK("https://files.afu.se/Downloads/Transcripts/0%20-%20Government/USA%20-%20NASA%20Kennedy/2020 08 21 - NASA's Kennedy Space Center - Inside KSC! for August 21, 2020_WZl30DgDohg - transcript (automated).pdf","Transcript Link")</f>
        <v>Transcript Link</v>
      </c>
    </row>
    <row r="244" ht="210" spans="1:13">
      <c r="A244" s="1" t="s">
        <v>1136</v>
      </c>
      <c r="B244" s="1" t="s">
        <v>13</v>
      </c>
      <c r="C244" s="4" t="s">
        <v>1137</v>
      </c>
      <c r="D244" s="1" t="s">
        <v>1138</v>
      </c>
      <c r="E244" s="1" t="s">
        <v>1139</v>
      </c>
      <c r="F244" s="4" t="s">
        <v>17</v>
      </c>
      <c r="G244" s="1" t="s">
        <v>18</v>
      </c>
      <c r="H244" s="1" t="s">
        <v>19</v>
      </c>
      <c r="I244" s="1" t="s">
        <v>20</v>
      </c>
      <c r="J244" s="1" t="s">
        <v>1140</v>
      </c>
      <c r="K244" s="1" t="s">
        <v>22</v>
      </c>
      <c r="L244" s="1" t="str">
        <f>HYPERLINK("https://files.afu.se/Downloads/Transcripts/0%20-%20Government/USA%20-%20NASA%20Kennedy/2020 08 14 - NASA's Kennedy Space Center - Inside KSC! for August 14, 2020_KkD3z1hqgQc - transcript (automated).pdf","Transcript Link")</f>
        <v>Transcript Link</v>
      </c>
      <c r="M244" s="2" t="str">
        <f>HYPERLINK("https://files.afu.se/Downloads/Transcripts/0%20-%20Government/USA%20-%20NASA%20Kennedy/2020 08 14 - NASA's Kennedy Space Center - Inside KSC! for August 14, 2020_KkD3z1hqgQc - transcript (automated).pdf","Transcript Link")</f>
        <v>Transcript Link</v>
      </c>
    </row>
    <row r="245" ht="180" spans="1:13">
      <c r="A245" s="1" t="s">
        <v>1141</v>
      </c>
      <c r="B245" s="1" t="s">
        <v>13</v>
      </c>
      <c r="C245" s="4" t="s">
        <v>1142</v>
      </c>
      <c r="D245" s="1" t="s">
        <v>1143</v>
      </c>
      <c r="E245" s="1" t="s">
        <v>1144</v>
      </c>
      <c r="F245" s="4" t="s">
        <v>17</v>
      </c>
      <c r="G245" s="1" t="s">
        <v>18</v>
      </c>
      <c r="H245" s="1" t="s">
        <v>19</v>
      </c>
      <c r="I245" s="1" t="s">
        <v>20</v>
      </c>
      <c r="J245" s="1" t="s">
        <v>1145</v>
      </c>
      <c r="K245" s="1" t="s">
        <v>22</v>
      </c>
      <c r="L245" s="1" t="str">
        <f>HYPERLINK("https://files.afu.se/Downloads/Transcripts/0%20-%20Government/USA%20-%20NASA%20Kennedy/2020 08 11 - NASA's Kennedy Space Center - NASA, SpaceX Complete History-Making Demo-2 Mission_9PZd1jFCVSQ - transcript (automated).pdf","Transcript Link")</f>
        <v>Transcript Link</v>
      </c>
      <c r="M245" s="2" t="str">
        <f>HYPERLINK("https://files.afu.se/Downloads/Transcripts/0%20-%20Government/USA%20-%20NASA%20Kennedy/2020 08 11 - NASA's Kennedy Space Center - NASA, SpaceX Complete History-Making Demo-2 Mission_9PZd1jFCVSQ - transcript (automated).pdf","Transcript Link")</f>
        <v>Transcript Link</v>
      </c>
    </row>
    <row r="246" ht="195" spans="1:13">
      <c r="A246" s="1" t="s">
        <v>1146</v>
      </c>
      <c r="B246" s="1" t="s">
        <v>13</v>
      </c>
      <c r="C246" s="4" t="s">
        <v>1147</v>
      </c>
      <c r="D246" s="1" t="s">
        <v>1148</v>
      </c>
      <c r="E246" s="1" t="s">
        <v>1149</v>
      </c>
      <c r="F246" s="4" t="s">
        <v>17</v>
      </c>
      <c r="G246" s="1" t="s">
        <v>18</v>
      </c>
      <c r="H246" s="1" t="s">
        <v>19</v>
      </c>
      <c r="I246" s="1" t="s">
        <v>20</v>
      </c>
      <c r="J246" s="1" t="s">
        <v>1150</v>
      </c>
      <c r="K246" s="1" t="s">
        <v>22</v>
      </c>
      <c r="L246" s="1" t="str">
        <f>HYPERLINK("https://files.afu.se/Downloads/Transcripts/0%20-%20Government/USA%20-%20NASA%20Kennedy/2020 08 07 - NASA's Kennedy Space Center - Inside KSC! Aug. 7, 2020_zwpD91NTFcA - transcript (automated).pdf","Transcript Link")</f>
        <v>Transcript Link</v>
      </c>
      <c r="M246" s="2" t="str">
        <f>HYPERLINK("https://files.afu.se/Downloads/Transcripts/0%20-%20Government/USA%20-%20NASA%20Kennedy/2020 08 07 - NASA's Kennedy Space Center - Inside KSC! Aug. 7, 2020_zwpD91NTFcA - transcript (automated).pdf","Transcript Link")</f>
        <v>Transcript Link</v>
      </c>
    </row>
    <row r="247" ht="180" spans="1:13">
      <c r="A247" s="1" t="s">
        <v>1151</v>
      </c>
      <c r="B247" s="1" t="s">
        <v>13</v>
      </c>
      <c r="C247" s="4" t="s">
        <v>1152</v>
      </c>
      <c r="D247" s="1" t="s">
        <v>1153</v>
      </c>
      <c r="E247" s="1" t="s">
        <v>1154</v>
      </c>
      <c r="F247" s="4" t="s">
        <v>17</v>
      </c>
      <c r="G247" s="1" t="s">
        <v>18</v>
      </c>
      <c r="H247" s="1" t="s">
        <v>19</v>
      </c>
      <c r="I247" s="1" t="s">
        <v>20</v>
      </c>
      <c r="J247" s="1" t="s">
        <v>1155</v>
      </c>
      <c r="K247" s="1" t="s">
        <v>22</v>
      </c>
      <c r="L247" s="1" t="str">
        <f>HYPERLINK("https://files.afu.se/Downloads/Transcripts/0%20-%20Government/USA%20-%20NASA%20Kennedy/2020 08 04 - NASA's Kennedy Space Center - Kennedy Director Commends Workforce on Outstanding Mission Efforts_jO8kiJREX9Y - transcript (automated).pdf","Transcript Link")</f>
        <v>Transcript Link</v>
      </c>
      <c r="M247" s="2" t="str">
        <f>HYPERLINK("https://files.afu.se/Downloads/Transcripts/0%20-%20Government/USA%20-%20NASA%20Kennedy/2020 08 04 - NASA's Kennedy Space Center - Kennedy Director Commends Workforce on Outstanding Mission Efforts_jO8kiJREX9Y - transcript (automated).pdf","Transcript Link")</f>
        <v>Transcript Link</v>
      </c>
    </row>
    <row r="248" ht="180" spans="1:13">
      <c r="A248" s="1" t="s">
        <v>1156</v>
      </c>
      <c r="B248" s="1" t="s">
        <v>13</v>
      </c>
      <c r="C248" s="4" t="s">
        <v>1157</v>
      </c>
      <c r="D248" s="1" t="s">
        <v>1158</v>
      </c>
      <c r="E248" s="1" t="s">
        <v>1159</v>
      </c>
      <c r="F248" s="4" t="s">
        <v>17</v>
      </c>
      <c r="G248" s="1" t="s">
        <v>18</v>
      </c>
      <c r="H248" s="1" t="s">
        <v>19</v>
      </c>
      <c r="I248" s="1" t="s">
        <v>20</v>
      </c>
      <c r="J248" s="1" t="s">
        <v>1160</v>
      </c>
      <c r="K248" s="1" t="s">
        <v>22</v>
      </c>
      <c r="L248" s="1" t="str">
        <f>HYPERLINK("https://files.afu.se/Downloads/Transcripts/0%20-%20Government/USA%20-%20NASA%20Kennedy/2020 07 31 - NASA's Kennedy Space Center - Inside KSC! July 31, 2020_pJjqKJyL4Ts - transcript (automated).pdf","Transcript Link")</f>
        <v>Transcript Link</v>
      </c>
      <c r="M248" s="2" t="str">
        <f>HYPERLINK("https://files.afu.se/Downloads/Transcripts/0%20-%20Government/USA%20-%20NASA%20Kennedy/2020 07 31 - NASA's Kennedy Space Center - Inside KSC! July 31, 2020_pJjqKJyL4Ts - transcript (automated).pdf","Transcript Link")</f>
        <v>Transcript Link</v>
      </c>
    </row>
    <row r="249" ht="180" spans="1:13">
      <c r="A249" s="1" t="s">
        <v>1161</v>
      </c>
      <c r="B249" s="1" t="s">
        <v>13</v>
      </c>
      <c r="C249" s="4" t="s">
        <v>1162</v>
      </c>
      <c r="D249" s="1" t="s">
        <v>1163</v>
      </c>
      <c r="E249" s="1" t="s">
        <v>1164</v>
      </c>
      <c r="F249" s="4" t="s">
        <v>17</v>
      </c>
      <c r="G249" s="1" t="s">
        <v>18</v>
      </c>
      <c r="H249" s="1" t="s">
        <v>19</v>
      </c>
      <c r="I249" s="1" t="s">
        <v>20</v>
      </c>
      <c r="J249" s="1" t="s">
        <v>1165</v>
      </c>
      <c r="K249" s="1" t="s">
        <v>22</v>
      </c>
      <c r="L249" s="1" t="str">
        <f>HYPERLINK("https://files.afu.se/Downloads/Transcripts/0%20-%20Government/USA%20-%20NASA%20Kennedy/2020 07 30 - NASA's Kennedy Space Center - Liftoff of NASA's Mars 2020 Perseverance Rover_69rn7zBddPw - transcript (automated).pdf","Transcript Link")</f>
        <v>Transcript Link</v>
      </c>
      <c r="M249" s="2" t="str">
        <f>HYPERLINK("https://files.afu.se/Downloads/Transcripts/0%20-%20Government/USA%20-%20NASA%20Kennedy/2020 07 30 - NASA's Kennedy Space Center - Liftoff of NASA's Mars 2020 Perseverance Rover_69rn7zBddPw - transcript (automated).pdf","Transcript Link")</f>
        <v>Transcript Link</v>
      </c>
    </row>
    <row r="250" ht="180" spans="1:13">
      <c r="A250" s="1" t="s">
        <v>1161</v>
      </c>
      <c r="B250" s="1" t="s">
        <v>13</v>
      </c>
      <c r="C250" s="4" t="s">
        <v>1166</v>
      </c>
      <c r="D250" s="1" t="s">
        <v>1167</v>
      </c>
      <c r="E250" s="1" t="s">
        <v>1168</v>
      </c>
      <c r="F250" s="4" t="s">
        <v>17</v>
      </c>
      <c r="G250" s="1" t="s">
        <v>18</v>
      </c>
      <c r="H250" s="1" t="s">
        <v>19</v>
      </c>
      <c r="I250" s="1" t="s">
        <v>20</v>
      </c>
      <c r="J250" s="1" t="s">
        <v>1169</v>
      </c>
      <c r="K250" s="1" t="s">
        <v>22</v>
      </c>
      <c r="L250" s="1" t="str">
        <f>HYPERLINK("https://files.afu.se/Downloads/Transcripts/0%20-%20Government/USA%20-%20NASA%20Kennedy/2020 07 30 - NASA's Kennedy Space Center - Mars 2020 Poll for Launch_KKuYKc4x5xc - transcript (automated).pdf","Transcript Link")</f>
        <v>Transcript Link</v>
      </c>
      <c r="M250" s="2" t="str">
        <f>HYPERLINK("https://files.afu.se/Downloads/Transcripts/0%20-%20Government/USA%20-%20NASA%20Kennedy/2020 07 30 - NASA's Kennedy Space Center - Mars 2020 Poll for Launch_KKuYKc4x5xc - transcript (automated).pdf","Transcript Link")</f>
        <v>Transcript Link</v>
      </c>
    </row>
    <row r="251" ht="180" spans="1:13">
      <c r="A251" s="1" t="s">
        <v>1161</v>
      </c>
      <c r="B251" s="1" t="s">
        <v>13</v>
      </c>
      <c r="C251" s="4" t="s">
        <v>1170</v>
      </c>
      <c r="D251" s="1" t="s">
        <v>1171</v>
      </c>
      <c r="E251" s="1" t="s">
        <v>1172</v>
      </c>
      <c r="F251" s="4" t="s">
        <v>17</v>
      </c>
      <c r="G251" s="1" t="s">
        <v>18</v>
      </c>
      <c r="H251" s="1" t="s">
        <v>19</v>
      </c>
      <c r="I251" s="1" t="s">
        <v>20</v>
      </c>
      <c r="J251" s="1" t="s">
        <v>1173</v>
      </c>
      <c r="K251" s="1" t="s">
        <v>22</v>
      </c>
      <c r="L251" s="1" t="str">
        <f>HYPERLINK("https://files.afu.se/Downloads/Transcripts/0%20-%20Government/USA%20-%20NASA%20Kennedy/2020 07 30 - NASA's Kennedy Space Center - NASA's Mars 2020 Broadcast Begins_6EW1qev8FT4 - transcript (automated).pdf","Transcript Link")</f>
        <v>Transcript Link</v>
      </c>
      <c r="M251" s="2" t="str">
        <f>HYPERLINK("https://files.afu.se/Downloads/Transcripts/0%20-%20Government/USA%20-%20NASA%20Kennedy/2020 07 30 - NASA's Kennedy Space Center - NASA's Mars 2020 Broadcast Begins_6EW1qev8FT4 - transcript (automated).pdf","Transcript Link")</f>
        <v>Transcript Link</v>
      </c>
    </row>
    <row r="252" ht="180" spans="1:13">
      <c r="A252" s="1" t="s">
        <v>1174</v>
      </c>
      <c r="B252" s="1" t="s">
        <v>13</v>
      </c>
      <c r="C252" s="4" t="s">
        <v>1175</v>
      </c>
      <c r="D252" s="1" t="s">
        <v>1176</v>
      </c>
      <c r="E252" s="1" t="s">
        <v>1177</v>
      </c>
      <c r="F252" s="4" t="s">
        <v>17</v>
      </c>
      <c r="G252" s="1" t="s">
        <v>18</v>
      </c>
      <c r="H252" s="1" t="s">
        <v>19</v>
      </c>
      <c r="I252" s="1" t="s">
        <v>20</v>
      </c>
      <c r="J252" s="1" t="s">
        <v>1178</v>
      </c>
      <c r="K252" s="1" t="s">
        <v>22</v>
      </c>
      <c r="L252" s="1" t="str">
        <f>HYPERLINK("https://files.afu.se/Downloads/Transcripts/0%20-%20Government/USA%20-%20NASA%20Kennedy/2020 07 28 - NASA's Kennedy Space Center - Rocket Ranch Episode 23  Mars 2020  In the Midst of a Pandemic_2zORTRedW_U - transcript (automated).pdf","Transcript Link")</f>
        <v>Transcript Link</v>
      </c>
      <c r="M252" s="2" t="str">
        <f>HYPERLINK("https://files.afu.se/Downloads/Transcripts/0%20-%20Government/USA%20-%20NASA%20Kennedy/2020 07 28 - NASA's Kennedy Space Center - Rocket Ranch Episode 23  Mars 2020  In the Midst of a Pandemic_2zORTRedW_U - transcript (automated).pdf","Transcript Link")</f>
        <v>Transcript Link</v>
      </c>
    </row>
    <row r="253" ht="180" spans="1:13">
      <c r="A253" s="1" t="s">
        <v>1179</v>
      </c>
      <c r="B253" s="1" t="s">
        <v>13</v>
      </c>
      <c r="C253" s="4" t="s">
        <v>1180</v>
      </c>
      <c r="D253" s="1" t="s">
        <v>1181</v>
      </c>
      <c r="E253" s="1" t="s">
        <v>1182</v>
      </c>
      <c r="F253" s="4" t="s">
        <v>17</v>
      </c>
      <c r="G253" s="1" t="s">
        <v>18</v>
      </c>
      <c r="H253" s="1" t="s">
        <v>19</v>
      </c>
      <c r="I253" s="1" t="s">
        <v>20</v>
      </c>
      <c r="J253" s="1" t="s">
        <v>1183</v>
      </c>
      <c r="K253" s="1" t="s">
        <v>22</v>
      </c>
      <c r="L253" s="1" t="str">
        <f>HYPERLINK("https://files.afu.se/Downloads/Transcripts/0%20-%20Government/USA%20-%20NASA%20Kennedy/2020 07 24 - NASA's Kennedy Space Center - Inside KSC! July 24, 2020_qV6ARkDnUsQ - transcript (automated).pdf","Transcript Link")</f>
        <v>Transcript Link</v>
      </c>
      <c r="M253" s="2" t="str">
        <f>HYPERLINK("https://files.afu.se/Downloads/Transcripts/0%20-%20Government/USA%20-%20NASA%20Kennedy/2020 07 24 - NASA's Kennedy Space Center - Inside KSC! July 24, 2020_qV6ARkDnUsQ - transcript (automated).pdf","Transcript Link")</f>
        <v>Transcript Link</v>
      </c>
    </row>
    <row r="254" ht="180" spans="1:13">
      <c r="A254" s="1" t="s">
        <v>1184</v>
      </c>
      <c r="B254" s="1" t="s">
        <v>13</v>
      </c>
      <c r="C254" s="4" t="s">
        <v>1185</v>
      </c>
      <c r="D254" s="1" t="s">
        <v>1186</v>
      </c>
      <c r="E254" s="1" t="s">
        <v>1187</v>
      </c>
      <c r="F254" s="4" t="s">
        <v>17</v>
      </c>
      <c r="G254" s="1" t="s">
        <v>18</v>
      </c>
      <c r="H254" s="1" t="s">
        <v>19</v>
      </c>
      <c r="I254" s="1" t="s">
        <v>20</v>
      </c>
      <c r="J254" s="1" t="s">
        <v>1188</v>
      </c>
      <c r="K254" s="1" t="s">
        <v>22</v>
      </c>
      <c r="L254" s="1" t="str">
        <f>HYPERLINK("https://files.afu.se/Downloads/Transcripts/0%20-%20Government/USA%20-%20NASA%20Kennedy/2020 07 17 - NASA's Kennedy Space Center - Inside KSC! for July 17, 2020_Wn54fvNiSSM - transcript (automated).pdf","Transcript Link")</f>
        <v>Transcript Link</v>
      </c>
      <c r="M254" s="2" t="str">
        <f>HYPERLINK("https://files.afu.se/Downloads/Transcripts/0%20-%20Government/USA%20-%20NASA%20Kennedy/2020 07 17 - NASA's Kennedy Space Center - Inside KSC! for July 17, 2020_Wn54fvNiSSM - transcript (automated).pdf","Transcript Link")</f>
        <v>Transcript Link</v>
      </c>
    </row>
    <row r="255" ht="195" spans="1:13">
      <c r="A255" s="1" t="s">
        <v>1189</v>
      </c>
      <c r="B255" s="1" t="s">
        <v>13</v>
      </c>
      <c r="C255" s="4" t="s">
        <v>1190</v>
      </c>
      <c r="D255" s="1" t="s">
        <v>1191</v>
      </c>
      <c r="E255" s="1" t="s">
        <v>1192</v>
      </c>
      <c r="F255" s="4" t="s">
        <v>17</v>
      </c>
      <c r="G255" s="1" t="s">
        <v>18</v>
      </c>
      <c r="H255" s="1" t="s">
        <v>19</v>
      </c>
      <c r="I255" s="1" t="s">
        <v>20</v>
      </c>
      <c r="J255" s="1" t="s">
        <v>1193</v>
      </c>
      <c r="K255" s="1" t="s">
        <v>22</v>
      </c>
      <c r="L255" s="1" t="str">
        <f>HYPERLINK("https://files.afu.se/Downloads/Transcripts/0%20-%20Government/USA%20-%20NASA%20Kennedy/2020 07 10 - NASA's Kennedy Space Center - Inside KSC! July 10, 2020_yl06ht6luXg - transcript (automated).pdf","Transcript Link")</f>
        <v>Transcript Link</v>
      </c>
      <c r="M255" s="2" t="str">
        <f>HYPERLINK("https://files.afu.se/Downloads/Transcripts/0%20-%20Government/USA%20-%20NASA%20Kennedy/2020 07 10 - NASA's Kennedy Space Center - Inside KSC! July 10, 2020_yl06ht6luXg - transcript (automated).pdf","Transcript Link")</f>
        <v>Transcript Link</v>
      </c>
    </row>
    <row r="256" ht="180" spans="1:13">
      <c r="A256" s="1" t="s">
        <v>1194</v>
      </c>
      <c r="B256" s="1" t="s">
        <v>13</v>
      </c>
      <c r="C256" s="4" t="s">
        <v>1195</v>
      </c>
      <c r="D256" s="1" t="s">
        <v>1196</v>
      </c>
      <c r="E256" s="1" t="s">
        <v>1197</v>
      </c>
      <c r="F256" s="4" t="s">
        <v>17</v>
      </c>
      <c r="G256" s="1" t="s">
        <v>18</v>
      </c>
      <c r="H256" s="1" t="s">
        <v>19</v>
      </c>
      <c r="I256" s="1" t="s">
        <v>20</v>
      </c>
      <c r="J256" s="1" t="s">
        <v>1198</v>
      </c>
      <c r="K256" s="1" t="s">
        <v>22</v>
      </c>
      <c r="L256" s="1" t="str">
        <f>HYPERLINK("https://files.afu.se/Downloads/Transcripts/0%20-%20Government/USA%20-%20NASA%20Kennedy/2020 07 02 - NASA's Kennedy Space Center - Inside KSC! for July 2, 2020_f60mhcptQr0 - transcript (automated).pdf","Transcript Link")</f>
        <v>Transcript Link</v>
      </c>
      <c r="M256" s="2" t="str">
        <f>HYPERLINK("https://files.afu.se/Downloads/Transcripts/0%20-%20Government/USA%20-%20NASA%20Kennedy/2020 07 02 - NASA's Kennedy Space Center - Inside KSC! for July 2, 2020_f60mhcptQr0 - transcript (automated).pdf","Transcript Link")</f>
        <v>Transcript Link</v>
      </c>
    </row>
    <row r="257" ht="180" spans="1:13">
      <c r="A257" s="1" t="s">
        <v>1199</v>
      </c>
      <c r="B257" s="1" t="s">
        <v>13</v>
      </c>
      <c r="C257" s="4" t="s">
        <v>1200</v>
      </c>
      <c r="D257" s="1" t="s">
        <v>1201</v>
      </c>
      <c r="E257" s="1" t="s">
        <v>1202</v>
      </c>
      <c r="F257" s="4" t="s">
        <v>17</v>
      </c>
      <c r="G257" s="1" t="s">
        <v>18</v>
      </c>
      <c r="H257" s="1" t="s">
        <v>19</v>
      </c>
      <c r="I257" s="1" t="s">
        <v>20</v>
      </c>
      <c r="J257" s="1" t="s">
        <v>1203</v>
      </c>
      <c r="K257" s="1" t="s">
        <v>22</v>
      </c>
      <c r="L257" s="1" t="str">
        <f>HYPERLINK("https://files.afu.se/Downloads/Transcripts/0%20-%20Government/USA%20-%20NASA%20Kennedy/2020 06 30 - NASA's Kennedy Space Center - 2020 Director's Update - Kennedy Space Center_v7oYIecYAeo - transcript (automated).pdf","Transcript Link")</f>
        <v>Transcript Link</v>
      </c>
      <c r="M257" s="2" t="str">
        <f>HYPERLINK("https://files.afu.se/Downloads/Transcripts/0%20-%20Government/USA%20-%20NASA%20Kennedy/2020 06 30 - NASA's Kennedy Space Center - 2020 Director's Update - Kennedy Space Center_v7oYIecYAeo - transcript (automated).pdf","Transcript Link")</f>
        <v>Transcript Link</v>
      </c>
    </row>
    <row r="258" ht="180" spans="1:13">
      <c r="A258" s="1" t="s">
        <v>1204</v>
      </c>
      <c r="B258" s="1" t="s">
        <v>13</v>
      </c>
      <c r="C258" s="4" t="s">
        <v>1205</v>
      </c>
      <c r="D258" s="1" t="s">
        <v>1206</v>
      </c>
      <c r="E258" s="1" t="s">
        <v>1207</v>
      </c>
      <c r="F258" s="4" t="s">
        <v>17</v>
      </c>
      <c r="G258" s="1" t="s">
        <v>18</v>
      </c>
      <c r="H258" s="1" t="s">
        <v>19</v>
      </c>
      <c r="I258" s="1" t="s">
        <v>20</v>
      </c>
      <c r="J258" s="1" t="s">
        <v>1208</v>
      </c>
      <c r="K258" s="1" t="s">
        <v>22</v>
      </c>
      <c r="L258" s="1" t="str">
        <f>HYPERLINK("https://files.afu.se/Downloads/Transcripts/0%20-%20Government/USA%20-%20NASA%20Kennedy/2020 06 26 - NASA's Kennedy Space Center - Inside KSC! for June 26, 2020_lMHqnOVH55M - transcript (automated).pdf","Transcript Link")</f>
        <v>Transcript Link</v>
      </c>
      <c r="M258" s="2" t="str">
        <f>HYPERLINK("https://files.afu.se/Downloads/Transcripts/0%20-%20Government/USA%20-%20NASA%20Kennedy/2020 06 26 - NASA's Kennedy Space Center - Inside KSC! for June 26, 2020_lMHqnOVH55M - transcript (automated).pdf","Transcript Link")</f>
        <v>Transcript Link</v>
      </c>
    </row>
    <row r="259" ht="180" spans="1:13">
      <c r="A259" s="1" t="s">
        <v>1209</v>
      </c>
      <c r="B259" s="1" t="s">
        <v>13</v>
      </c>
      <c r="C259" s="4" t="s">
        <v>1210</v>
      </c>
      <c r="D259" s="1" t="s">
        <v>1211</v>
      </c>
      <c r="E259" s="1" t="s">
        <v>1212</v>
      </c>
      <c r="F259" s="4" t="s">
        <v>17</v>
      </c>
      <c r="G259" s="1" t="s">
        <v>18</v>
      </c>
      <c r="H259" s="1" t="s">
        <v>19</v>
      </c>
      <c r="I259" s="1" t="s">
        <v>20</v>
      </c>
      <c r="J259" s="1" t="s">
        <v>1213</v>
      </c>
      <c r="K259" s="1" t="s">
        <v>22</v>
      </c>
      <c r="L259" s="1" t="str">
        <f>HYPERLINK("https://files.afu.se/Downloads/Transcripts/0%20-%20Government/USA%20-%20NASA%20Kennedy/2020 06 19 - NASA's Kennedy Space Center - Inside KSC! for June 19, 2020_qUHlj1Dkw68 - transcript (automated).pdf","Transcript Link")</f>
        <v>Transcript Link</v>
      </c>
      <c r="M259" s="2" t="str">
        <f>HYPERLINK("https://files.afu.se/Downloads/Transcripts/0%20-%20Government/USA%20-%20NASA%20Kennedy/2020 06 19 - NASA's Kennedy Space Center - Inside KSC! for June 19, 2020_qUHlj1Dkw68 - transcript (automated).pdf","Transcript Link")</f>
        <v>Transcript Link</v>
      </c>
    </row>
    <row r="260" ht="180" spans="1:13">
      <c r="A260" s="1" t="s">
        <v>1214</v>
      </c>
      <c r="B260" s="1" t="s">
        <v>13</v>
      </c>
      <c r="C260" s="4" t="s">
        <v>1215</v>
      </c>
      <c r="D260" s="1" t="s">
        <v>1216</v>
      </c>
      <c r="E260" s="1" t="s">
        <v>1217</v>
      </c>
      <c r="F260" s="4" t="s">
        <v>17</v>
      </c>
      <c r="G260" s="1" t="s">
        <v>18</v>
      </c>
      <c r="H260" s="1" t="s">
        <v>19</v>
      </c>
      <c r="I260" s="1" t="s">
        <v>20</v>
      </c>
      <c r="J260" s="1" t="s">
        <v>1218</v>
      </c>
      <c r="K260" s="1" t="s">
        <v>22</v>
      </c>
      <c r="L260" s="1" t="str">
        <f>HYPERLINK("https://files.afu.se/Downloads/Transcripts/0%20-%20Government/USA%20-%20NASA%20Kennedy/2020 06 08 - NASA's Kennedy Space Center - Safety and Mission Assurance Risk-Based Decision Making_LO2Xd-kZOyg - transcript (automated).pdf","Transcript Link")</f>
        <v>Transcript Link</v>
      </c>
      <c r="M260" s="2" t="str">
        <f>HYPERLINK("https://files.afu.se/Downloads/Transcripts/0%20-%20Government/USA%20-%20NASA%20Kennedy/2020 06 08 - NASA's Kennedy Space Center - Safety and Mission Assurance Risk-Based Decision Making_LO2Xd-kZOyg - transcript (automated).pdf","Transcript Link")</f>
        <v>Transcript Link</v>
      </c>
    </row>
    <row r="261" ht="180" spans="1:13">
      <c r="A261" s="1" t="s">
        <v>1219</v>
      </c>
      <c r="B261" s="1" t="s">
        <v>13</v>
      </c>
      <c r="C261" s="4" t="s">
        <v>1220</v>
      </c>
      <c r="D261" s="1" t="s">
        <v>1221</v>
      </c>
      <c r="E261" s="1" t="s">
        <v>1222</v>
      </c>
      <c r="F261" s="4" t="s">
        <v>17</v>
      </c>
      <c r="G261" s="1" t="s">
        <v>18</v>
      </c>
      <c r="H261" s="1" t="s">
        <v>19</v>
      </c>
      <c r="I261" s="1" t="s">
        <v>20</v>
      </c>
      <c r="J261" s="1" t="s">
        <v>1223</v>
      </c>
      <c r="K261" s="1" t="s">
        <v>22</v>
      </c>
      <c r="L261" s="1" t="str">
        <f>HYPERLINK("https://files.afu.se/Downloads/Transcripts/0%20-%20Government/USA%20-%20NASA%20Kennedy/2020 06 05 - NASA's Kennedy Space Center - Inside KSC! for June 5, 2020_pHq3zbzpl2w - transcript (automated).pdf","Transcript Link")</f>
        <v>Transcript Link</v>
      </c>
      <c r="M261" s="2" t="str">
        <f>HYPERLINK("https://files.afu.se/Downloads/Transcripts/0%20-%20Government/USA%20-%20NASA%20Kennedy/2020 06 05 - NASA's Kennedy Space Center - Inside KSC! for June 5, 2020_pHq3zbzpl2w - transcript (automated).pdf","Transcript Link")</f>
        <v>Transcript Link</v>
      </c>
    </row>
    <row r="262" ht="210" spans="1:13">
      <c r="A262" s="1" t="s">
        <v>1224</v>
      </c>
      <c r="B262" s="1" t="s">
        <v>13</v>
      </c>
      <c r="C262" s="4" t="s">
        <v>1225</v>
      </c>
      <c r="D262" s="1" t="s">
        <v>1226</v>
      </c>
      <c r="E262" s="1" t="s">
        <v>1227</v>
      </c>
      <c r="F262" s="4" t="s">
        <v>17</v>
      </c>
      <c r="G262" s="1" t="s">
        <v>18</v>
      </c>
      <c r="H262" s="1" t="s">
        <v>19</v>
      </c>
      <c r="I262" s="1" t="s">
        <v>20</v>
      </c>
      <c r="J262" s="1" t="s">
        <v>1228</v>
      </c>
      <c r="K262" s="1" t="s">
        <v>22</v>
      </c>
      <c r="L262" s="1">
        <v>0</v>
      </c>
      <c r="M262" s="2">
        <v>0</v>
      </c>
    </row>
    <row r="263" ht="180" spans="1:13">
      <c r="A263" s="1" t="s">
        <v>1224</v>
      </c>
      <c r="B263" s="1" t="s">
        <v>13</v>
      </c>
      <c r="C263" s="4" t="s">
        <v>1229</v>
      </c>
      <c r="D263" s="1" t="s">
        <v>1230</v>
      </c>
      <c r="E263" s="1" t="s">
        <v>1231</v>
      </c>
      <c r="F263" s="4" t="s">
        <v>17</v>
      </c>
      <c r="G263" s="1" t="s">
        <v>18</v>
      </c>
      <c r="H263" s="1" t="s">
        <v>19</v>
      </c>
      <c r="I263" s="1" t="s">
        <v>20</v>
      </c>
      <c r="J263" s="1" t="s">
        <v>1232</v>
      </c>
      <c r="K263" s="1" t="s">
        <v>22</v>
      </c>
      <c r="L263" s="1">
        <v>0</v>
      </c>
      <c r="M263" s="2">
        <v>0</v>
      </c>
    </row>
    <row r="264" ht="225" spans="1:13">
      <c r="A264" s="1" t="s">
        <v>1224</v>
      </c>
      <c r="B264" s="1" t="s">
        <v>13</v>
      </c>
      <c r="C264" s="4" t="s">
        <v>1233</v>
      </c>
      <c r="D264" s="1" t="s">
        <v>1234</v>
      </c>
      <c r="E264" s="1" t="s">
        <v>1235</v>
      </c>
      <c r="F264" s="4" t="s">
        <v>17</v>
      </c>
      <c r="G264" s="1" t="s">
        <v>18</v>
      </c>
      <c r="H264" s="1" t="s">
        <v>19</v>
      </c>
      <c r="I264" s="1" t="s">
        <v>20</v>
      </c>
      <c r="J264" s="1" t="s">
        <v>1236</v>
      </c>
      <c r="K264" s="1" t="s">
        <v>22</v>
      </c>
      <c r="L264" s="1" t="str">
        <f>HYPERLINK("https://files.afu.se/Downloads/Transcripts/0%20-%20Government/USA%20-%20NASA%20Kennedy/2020 05 30 - NASA's Kennedy Space Center - Demo-2 Crew Members Suit Up for Flight to International Space Station_GmhXNvzzJLw - transcript (automated).pdf","Transcript Link")</f>
        <v>Transcript Link</v>
      </c>
      <c r="M264" s="2" t="str">
        <f>HYPERLINK("https://files.afu.se/Downloads/Transcripts/0%20-%20Government/USA%20-%20NASA%20Kennedy/2020 05 30 - NASA's Kennedy Space Center - Demo-2 Crew Members Suit Up for Flight to International Space Station_GmhXNvzzJLw - transcript (automated).pdf","Transcript Link")</f>
        <v>Transcript Link</v>
      </c>
    </row>
    <row r="265" ht="195" spans="1:13">
      <c r="A265" s="1" t="s">
        <v>1224</v>
      </c>
      <c r="B265" s="1" t="s">
        <v>13</v>
      </c>
      <c r="C265" s="4" t="s">
        <v>1237</v>
      </c>
      <c r="D265" s="1" t="s">
        <v>1238</v>
      </c>
      <c r="E265" s="1" t="s">
        <v>1239</v>
      </c>
      <c r="F265" s="4" t="s">
        <v>17</v>
      </c>
      <c r="G265" s="1" t="s">
        <v>18</v>
      </c>
      <c r="H265" s="1" t="s">
        <v>19</v>
      </c>
      <c r="I265" s="1" t="s">
        <v>20</v>
      </c>
      <c r="J265" s="1" t="s">
        <v>1240</v>
      </c>
      <c r="K265" s="1" t="s">
        <v>22</v>
      </c>
      <c r="L265" s="1" t="str">
        <f>HYPERLINK("https://files.afu.se/Downloads/Transcripts/0%20-%20Government/USA%20-%20NASA%20Kennedy/2020 05 30 - NASA's Kennedy Space Center - NASA’s SpaceX Demo-2 Astronauts Board Crew Dragon for Flight to Space Station_4ZOIYEuf5F4 - transcript (automated).pdf","Transcript Link")</f>
        <v>Transcript Link</v>
      </c>
      <c r="M265" s="2" t="str">
        <f>HYPERLINK("https://files.afu.se/Downloads/Transcripts/0%20-%20Government/USA%20-%20NASA%20Kennedy/2020 05 30 - NASA's Kennedy Space Center - NASA’s SpaceX Demo-2 Astronauts Board Crew Dragon for Flight to Space Station_4ZOIYEuf5F4 - transcript (automated).pdf","Transcript Link")</f>
        <v>Transcript Link</v>
      </c>
    </row>
    <row r="266" ht="210" spans="1:13">
      <c r="A266" s="1" t="s">
        <v>1224</v>
      </c>
      <c r="B266" s="1" t="s">
        <v>13</v>
      </c>
      <c r="C266" s="4" t="s">
        <v>1241</v>
      </c>
      <c r="D266" s="1" t="s">
        <v>1242</v>
      </c>
      <c r="E266" s="1" t="s">
        <v>1243</v>
      </c>
      <c r="F266" s="4" t="s">
        <v>17</v>
      </c>
      <c r="G266" s="1" t="s">
        <v>18</v>
      </c>
      <c r="H266" s="1" t="s">
        <v>19</v>
      </c>
      <c r="I266" s="1" t="s">
        <v>20</v>
      </c>
      <c r="J266" s="1" t="s">
        <v>1244</v>
      </c>
      <c r="K266" s="1" t="s">
        <v>22</v>
      </c>
      <c r="L266" s="1" t="str">
        <f>HYPERLINK("https://files.afu.se/Downloads/Transcripts/0%20-%20Government/USA%20-%20NASA%20Kennedy/2020 05 30 - NASA's Kennedy Space Center - NASA’s SpaceX Demo-2 Astronauts Depart from Crew Quarters at Kennedy Space Center_uBbxyRtiW2s - transcript (automated).pdf","Transcript Link")</f>
        <v>Transcript Link</v>
      </c>
      <c r="M266" s="2" t="str">
        <f>HYPERLINK("https://files.afu.se/Downloads/Transcripts/0%20-%20Government/USA%20-%20NASA%20Kennedy/2020 05 30 - NASA's Kennedy Space Center - NASA’s SpaceX Demo-2 Astronauts Depart from Crew Quarters at Kennedy Space Center_uBbxyRtiW2s - transcript (automated).pdf","Transcript Link")</f>
        <v>Transcript Link</v>
      </c>
    </row>
    <row r="267" ht="180" spans="1:13">
      <c r="A267" s="1" t="s">
        <v>1245</v>
      </c>
      <c r="B267" s="1" t="s">
        <v>13</v>
      </c>
      <c r="C267" s="4" t="s">
        <v>1246</v>
      </c>
      <c r="D267" s="1" t="s">
        <v>1247</v>
      </c>
      <c r="E267" s="1" t="s">
        <v>1248</v>
      </c>
      <c r="F267" s="4" t="s">
        <v>17</v>
      </c>
      <c r="G267" s="1" t="s">
        <v>18</v>
      </c>
      <c r="H267" s="1" t="s">
        <v>19</v>
      </c>
      <c r="I267" s="1" t="s">
        <v>20</v>
      </c>
      <c r="J267" s="1" t="s">
        <v>1249</v>
      </c>
      <c r="K267" s="1" t="s">
        <v>22</v>
      </c>
      <c r="L267" s="1" t="str">
        <f>HYPERLINK("https://files.afu.se/Downloads/Transcripts/0%20-%20Government/USA%20-%20NASA%20Kennedy/2020 05 29 - NASA's Kennedy Space Center - Inside KSC! for May 29, 2020_B0bwKZb6YI0 - transcript (automated).pdf","Transcript Link")</f>
        <v>Transcript Link</v>
      </c>
      <c r="M267" s="2" t="str">
        <f>HYPERLINK("https://files.afu.se/Downloads/Transcripts/0%20-%20Government/USA%20-%20NASA%20Kennedy/2020 05 29 - NASA's Kennedy Space Center - Inside KSC! for May 29, 2020_B0bwKZb6YI0 - transcript (automated).pdf","Transcript Link")</f>
        <v>Transcript Link</v>
      </c>
    </row>
    <row r="268" ht="180" spans="1:13">
      <c r="A268" s="1" t="s">
        <v>1250</v>
      </c>
      <c r="B268" s="1" t="s">
        <v>13</v>
      </c>
      <c r="C268" s="4" t="s">
        <v>1251</v>
      </c>
      <c r="D268" s="1" t="s">
        <v>1252</v>
      </c>
      <c r="E268" s="1" t="s">
        <v>1253</v>
      </c>
      <c r="F268" s="4" t="s">
        <v>17</v>
      </c>
      <c r="G268" s="1" t="s">
        <v>18</v>
      </c>
      <c r="H268" s="1" t="s">
        <v>19</v>
      </c>
      <c r="I268" s="1" t="s">
        <v>20</v>
      </c>
      <c r="J268" s="1" t="s">
        <v>1254</v>
      </c>
      <c r="K268" s="1" t="s">
        <v>22</v>
      </c>
      <c r="L268" s="1" t="str">
        <f>HYPERLINK("https://files.afu.se/Downloads/Transcripts/0%20-%20Government/USA%20-%20NASA%20Kennedy/2020 05 27 - NASA's Kennedy Space Center - NASA Administrator Makes Statement After Scrub of SpaceX Demo-2 Launch_VLQ2ypFWp2M - transcript (automated).pdf","Transcript Link")</f>
        <v>Transcript Link</v>
      </c>
      <c r="M268" s="2" t="str">
        <f>HYPERLINK("https://files.afu.se/Downloads/Transcripts/0%20-%20Government/USA%20-%20NASA%20Kennedy/2020 05 27 - NASA's Kennedy Space Center - NASA Administrator Makes Statement After Scrub of SpaceX Demo-2 Launch_VLQ2ypFWp2M - transcript (automated).pdf","Transcript Link")</f>
        <v>Transcript Link</v>
      </c>
    </row>
    <row r="269" ht="195" spans="1:13">
      <c r="A269" s="1" t="s">
        <v>1250</v>
      </c>
      <c r="B269" s="1" t="s">
        <v>13</v>
      </c>
      <c r="C269" s="4" t="s">
        <v>1255</v>
      </c>
      <c r="D269" s="1" t="s">
        <v>1256</v>
      </c>
      <c r="E269" s="1" t="s">
        <v>1257</v>
      </c>
      <c r="F269" s="4" t="s">
        <v>17</v>
      </c>
      <c r="G269" s="1" t="s">
        <v>18</v>
      </c>
      <c r="H269" s="1" t="s">
        <v>19</v>
      </c>
      <c r="I269" s="1" t="s">
        <v>20</v>
      </c>
      <c r="J269" s="1" t="s">
        <v>1258</v>
      </c>
      <c r="K269" s="1" t="s">
        <v>22</v>
      </c>
      <c r="L269" s="1" t="str">
        <f>HYPERLINK("https://files.afu.se/Downloads/Transcripts/0%20-%20Government/USA%20-%20NASA%20Kennedy/2020 05 27 - NASA's Kennedy Space Center - SpaceX Demo-2  Launch Rescheduled for May 30 Because of Bad Weather__nhemzJVFSw - transcript (automated).pdf","Transcript Link")</f>
        <v>Transcript Link</v>
      </c>
      <c r="M269" s="2" t="str">
        <f>HYPERLINK("https://files.afu.se/Downloads/Transcripts/0%20-%20Government/USA%20-%20NASA%20Kennedy/2020 05 27 - NASA's Kennedy Space Center - SpaceX Demo-2  Launch Rescheduled for May 30 Because of Bad Weather__nhemzJVFSw - transcript (automated).pdf","Transcript Link")</f>
        <v>Transcript Link</v>
      </c>
    </row>
    <row r="270" ht="225" spans="1:13">
      <c r="A270" s="1" t="s">
        <v>1250</v>
      </c>
      <c r="B270" s="1" t="s">
        <v>13</v>
      </c>
      <c r="C270" s="4" t="s">
        <v>1259</v>
      </c>
      <c r="D270" s="1" t="s">
        <v>1238</v>
      </c>
      <c r="E270" s="1" t="s">
        <v>1260</v>
      </c>
      <c r="F270" s="4" t="s">
        <v>17</v>
      </c>
      <c r="G270" s="1" t="s">
        <v>18</v>
      </c>
      <c r="H270" s="1" t="s">
        <v>19</v>
      </c>
      <c r="I270" s="1" t="s">
        <v>20</v>
      </c>
      <c r="J270" s="1" t="s">
        <v>1261</v>
      </c>
      <c r="K270" s="1" t="s">
        <v>22</v>
      </c>
      <c r="L270" s="1" t="str">
        <f>HYPERLINK("https://files.afu.se/Downloads/Transcripts/0%20-%20Government/USA%20-%20NASA%20Kennedy/2020 05 27 - NASA's Kennedy Space Center - NASA’s SpaceX Demo-2 Astronauts Board Crew Dragon for Flight to Space Station_lV1ShI5eZBI - transcript (automated).pdf","Transcript Link")</f>
        <v>Transcript Link</v>
      </c>
      <c r="M270" s="2" t="str">
        <f>HYPERLINK("https://files.afu.se/Downloads/Transcripts/0%20-%20Government/USA%20-%20NASA%20Kennedy/2020 05 27 - NASA's Kennedy Space Center - NASA’s SpaceX Demo-2 Astronauts Board Crew Dragon for Flight to Space Station_lV1ShI5eZBI - transcript (automated).pdf","Transcript Link")</f>
        <v>Transcript Link</v>
      </c>
    </row>
    <row r="271" ht="210" spans="1:13">
      <c r="A271" s="1" t="s">
        <v>1250</v>
      </c>
      <c r="B271" s="1" t="s">
        <v>13</v>
      </c>
      <c r="C271" s="4" t="s">
        <v>1262</v>
      </c>
      <c r="D271" s="1" t="s">
        <v>1263</v>
      </c>
      <c r="E271" s="1" t="s">
        <v>1264</v>
      </c>
      <c r="F271" s="4" t="s">
        <v>17</v>
      </c>
      <c r="G271" s="1" t="s">
        <v>18</v>
      </c>
      <c r="H271" s="1" t="s">
        <v>19</v>
      </c>
      <c r="I271" s="1" t="s">
        <v>20</v>
      </c>
      <c r="J271" s="1" t="s">
        <v>1265</v>
      </c>
      <c r="K271" s="1" t="s">
        <v>22</v>
      </c>
      <c r="L271" s="1" t="str">
        <f>HYPERLINK("https://files.afu.se/Downloads/Transcripts/0%20-%20Government/USA%20-%20NASA%20Kennedy/2020 05 27 - NASA's Kennedy Space Center - Crew Access Arm Retracted for Demo-2 at Launch Complex 39A_GDyteaqYCzY - transcript (automated).pdf","Transcript Link")</f>
        <v>Transcript Link</v>
      </c>
      <c r="M271" s="2" t="str">
        <f>HYPERLINK("https://files.afu.se/Downloads/Transcripts/0%20-%20Government/USA%20-%20NASA%20Kennedy/2020 05 27 - NASA's Kennedy Space Center - Crew Access Arm Retracted for Demo-2 at Launch Complex 39A_GDyteaqYCzY - transcript (automated).pdf","Transcript Link")</f>
        <v>Transcript Link</v>
      </c>
    </row>
    <row r="272" ht="210" spans="1:13">
      <c r="A272" s="1" t="s">
        <v>1250</v>
      </c>
      <c r="B272" s="1" t="s">
        <v>13</v>
      </c>
      <c r="C272" s="4" t="s">
        <v>1266</v>
      </c>
      <c r="D272" s="1" t="s">
        <v>1267</v>
      </c>
      <c r="E272" s="1" t="s">
        <v>1268</v>
      </c>
      <c r="F272" s="4" t="s">
        <v>17</v>
      </c>
      <c r="G272" s="1" t="s">
        <v>18</v>
      </c>
      <c r="H272" s="1" t="s">
        <v>19</v>
      </c>
      <c r="I272" s="1" t="s">
        <v>20</v>
      </c>
      <c r="J272" s="1" t="s">
        <v>1269</v>
      </c>
      <c r="K272" s="1" t="s">
        <v>22</v>
      </c>
      <c r="L272" s="1" t="str">
        <f>HYPERLINK("https://files.afu.se/Downloads/Transcripts/0%20-%20Government/USA%20-%20NASA%20Kennedy/2020 05 27 - NASA's Kennedy Space Center - NASA’s SpaceX Demo-2 Crew Members Suit Up for Flight to International Space Station_nI1pkHEXj3w - transcript (automated).pdf","Transcript Link")</f>
        <v>Transcript Link</v>
      </c>
      <c r="M272" s="2" t="str">
        <f>HYPERLINK("https://files.afu.se/Downloads/Transcripts/0%20-%20Government/USA%20-%20NASA%20Kennedy/2020 05 27 - NASA's Kennedy Space Center - NASA’s SpaceX Demo-2 Crew Members Suit Up for Flight to International Space Station_nI1pkHEXj3w - transcript (automated).pdf","Transcript Link")</f>
        <v>Transcript Link</v>
      </c>
    </row>
    <row r="273" ht="180" spans="1:13">
      <c r="A273" s="1" t="s">
        <v>1270</v>
      </c>
      <c r="B273" s="1" t="s">
        <v>13</v>
      </c>
      <c r="C273" s="4" t="s">
        <v>1271</v>
      </c>
      <c r="D273" s="1" t="s">
        <v>1272</v>
      </c>
      <c r="E273" s="1" t="s">
        <v>1273</v>
      </c>
      <c r="F273" s="4" t="s">
        <v>17</v>
      </c>
      <c r="G273" s="1" t="s">
        <v>18</v>
      </c>
      <c r="H273" s="1" t="s">
        <v>19</v>
      </c>
      <c r="I273" s="1" t="s">
        <v>20</v>
      </c>
      <c r="J273" s="1" t="s">
        <v>1274</v>
      </c>
      <c r="K273" s="1" t="s">
        <v>22</v>
      </c>
      <c r="L273" s="1" t="str">
        <f>HYPERLINK("https://files.afu.se/Downloads/Transcripts/0%20-%20Government/USA%20-%20NASA%20Kennedy/2020 05 22 - NASA's Kennedy Space Center - Inside KSC! for May 22, 2020_tSu6XI6HGrs - transcript (automated).pdf","Transcript Link")</f>
        <v>Transcript Link</v>
      </c>
      <c r="M273" s="2" t="str">
        <f>HYPERLINK("https://files.afu.se/Downloads/Transcripts/0%20-%20Government/USA%20-%20NASA%20Kennedy/2020 05 22 - NASA's Kennedy Space Center - Inside KSC! for May 22, 2020_tSu6XI6HGrs - transcript (automated).pdf","Transcript Link")</f>
        <v>Transcript Link</v>
      </c>
    </row>
    <row r="274" ht="180" spans="1:13">
      <c r="A274" s="1" t="s">
        <v>1275</v>
      </c>
      <c r="B274" s="1" t="s">
        <v>13</v>
      </c>
      <c r="C274" s="4" t="s">
        <v>1276</v>
      </c>
      <c r="D274" s="1" t="s">
        <v>1277</v>
      </c>
      <c r="E274" s="1" t="s">
        <v>1278</v>
      </c>
      <c r="F274" s="4" t="s">
        <v>17</v>
      </c>
      <c r="G274" s="1" t="s">
        <v>18</v>
      </c>
      <c r="H274" s="1" t="s">
        <v>19</v>
      </c>
      <c r="I274" s="1" t="s">
        <v>20</v>
      </c>
      <c r="J274" s="1" t="s">
        <v>1279</v>
      </c>
      <c r="K274" s="1" t="s">
        <v>22</v>
      </c>
      <c r="L274" s="1" t="str">
        <f>HYPERLINK("https://files.afu.se/Downloads/Transcripts/0%20-%20Government/USA%20-%20NASA%20Kennedy/2020 05 15 - NASA's Kennedy Space Center - Rocket Ranch #22  NASA Astronauts’ Friendship Key To History Making SpaceX Flight_SiMgnT36504 - transcript (automated).pdf","Transcript Link")</f>
        <v>Transcript Link</v>
      </c>
      <c r="M274" s="2" t="str">
        <f>HYPERLINK("https://files.afu.se/Downloads/Transcripts/0%20-%20Government/USA%20-%20NASA%20Kennedy/2020 05 15 - NASA's Kennedy Space Center - Rocket Ranch #22  NASA Astronauts’ Friendship Key To History Making SpaceX Flight_SiMgnT36504 - transcript (automated).pdf","Transcript Link")</f>
        <v>Transcript Link</v>
      </c>
    </row>
    <row r="275" ht="180" spans="1:13">
      <c r="A275" s="1" t="s">
        <v>1275</v>
      </c>
      <c r="B275" s="1" t="s">
        <v>13</v>
      </c>
      <c r="C275" s="4" t="s">
        <v>1280</v>
      </c>
      <c r="D275" s="1" t="s">
        <v>1281</v>
      </c>
      <c r="E275" s="1" t="s">
        <v>1282</v>
      </c>
      <c r="F275" s="4" t="s">
        <v>17</v>
      </c>
      <c r="G275" s="1" t="s">
        <v>18</v>
      </c>
      <c r="H275" s="1" t="s">
        <v>19</v>
      </c>
      <c r="I275" s="1" t="s">
        <v>20</v>
      </c>
      <c r="J275" s="1" t="s">
        <v>1283</v>
      </c>
      <c r="K275" s="1" t="s">
        <v>22</v>
      </c>
      <c r="L275" s="1" t="str">
        <f>HYPERLINK("https://files.afu.se/Downloads/Transcripts/0%20-%20Government/USA%20-%20NASA%20Kennedy/2020 05 15 - NASA's Kennedy Space Center - Inside KSC! for May 15, 2020_4xQx1aXvK98 - transcript (automated).pdf","Transcript Link")</f>
        <v>Transcript Link</v>
      </c>
      <c r="M275" s="2" t="str">
        <f>HYPERLINK("https://files.afu.se/Downloads/Transcripts/0%20-%20Government/USA%20-%20NASA%20Kennedy/2020 05 15 - NASA's Kennedy Space Center - Inside KSC! for May 15, 2020_4xQx1aXvK98 - transcript (automated).pdf","Transcript Link")</f>
        <v>Transcript Link</v>
      </c>
    </row>
    <row r="276" ht="195" spans="1:13">
      <c r="A276" s="1" t="s">
        <v>1284</v>
      </c>
      <c r="B276" s="1" t="s">
        <v>13</v>
      </c>
      <c r="C276" s="4" t="s">
        <v>1285</v>
      </c>
      <c r="D276" s="1" t="s">
        <v>1286</v>
      </c>
      <c r="E276" s="1" t="s">
        <v>1287</v>
      </c>
      <c r="F276" s="4" t="s">
        <v>17</v>
      </c>
      <c r="G276" s="1" t="s">
        <v>18</v>
      </c>
      <c r="H276" s="1" t="s">
        <v>19</v>
      </c>
      <c r="I276" s="1" t="s">
        <v>20</v>
      </c>
      <c r="J276" s="1" t="s">
        <v>1288</v>
      </c>
      <c r="K276" s="1" t="s">
        <v>22</v>
      </c>
      <c r="L276" s="1" t="str">
        <f>HYPERLINK("https://files.afu.se/Downloads/Transcripts/0%20-%20Government/USA%20-%20NASA%20Kennedy/2020 05 14 - NASA's Kennedy Space Center - Orion Recovery Team_kJDwlC2PrAw - transcript (automated).pdf","Transcript Link")</f>
        <v>Transcript Link</v>
      </c>
      <c r="M276" s="2" t="str">
        <f>HYPERLINK("https://files.afu.se/Downloads/Transcripts/0%20-%20Government/USA%20-%20NASA%20Kennedy/2020 05 14 - NASA's Kennedy Space Center - Orion Recovery Team_kJDwlC2PrAw - transcript (automated).pdf","Transcript Link")</f>
        <v>Transcript Link</v>
      </c>
    </row>
    <row r="277" ht="180" spans="1:13">
      <c r="A277" s="1" t="s">
        <v>1289</v>
      </c>
      <c r="B277" s="1" t="s">
        <v>13</v>
      </c>
      <c r="C277" s="4" t="s">
        <v>1290</v>
      </c>
      <c r="D277" s="1" t="s">
        <v>1291</v>
      </c>
      <c r="E277" s="1" t="s">
        <v>1292</v>
      </c>
      <c r="F277" s="4" t="s">
        <v>17</v>
      </c>
      <c r="G277" s="1" t="s">
        <v>18</v>
      </c>
      <c r="H277" s="1" t="s">
        <v>19</v>
      </c>
      <c r="I277" s="1" t="s">
        <v>20</v>
      </c>
      <c r="J277" s="1" t="s">
        <v>1293</v>
      </c>
      <c r="K277" s="1" t="s">
        <v>22</v>
      </c>
      <c r="L277" s="1" t="str">
        <f>HYPERLINK("https://files.afu.se/Downloads/Transcripts/0%20-%20Government/USA%20-%20NASA%20Kennedy/2020 05 11 - NASA's Kennedy Space Center - Pad 39B is Ready for Artemis I_EdumTVtWLCI - transcript (automated).pdf","Transcript Link")</f>
        <v>Transcript Link</v>
      </c>
      <c r="M277" s="2" t="str">
        <f>HYPERLINK("https://files.afu.se/Downloads/Transcripts/0%20-%20Government/USA%20-%20NASA%20Kennedy/2020 05 11 - NASA's Kennedy Space Center - Pad 39B is Ready for Artemis I_EdumTVtWLCI - transcript (automated).pdf","Transcript Link")</f>
        <v>Transcript Link</v>
      </c>
    </row>
    <row r="278" ht="180" spans="1:13">
      <c r="A278" s="1" t="s">
        <v>1294</v>
      </c>
      <c r="B278" s="1" t="s">
        <v>13</v>
      </c>
      <c r="C278" s="4" t="s">
        <v>1295</v>
      </c>
      <c r="D278" s="1" t="s">
        <v>1296</v>
      </c>
      <c r="E278" s="1" t="s">
        <v>1297</v>
      </c>
      <c r="F278" s="4" t="s">
        <v>17</v>
      </c>
      <c r="G278" s="1" t="s">
        <v>18</v>
      </c>
      <c r="H278" s="1" t="s">
        <v>19</v>
      </c>
      <c r="I278" s="1" t="s">
        <v>20</v>
      </c>
      <c r="J278" s="1" t="s">
        <v>1298</v>
      </c>
      <c r="K278" s="1" t="s">
        <v>22</v>
      </c>
      <c r="L278" s="1" t="str">
        <f>HYPERLINK("https://files.afu.se/Downloads/Transcripts/0%20-%20Government/USA%20-%20NASA%20Kennedy/2020 05 08 - NASA's Kennedy Space Center - Inside KSC! for May 8, 2020_oeJcFqyDYX0 - transcript (automated).pdf","Transcript Link")</f>
        <v>Transcript Link</v>
      </c>
      <c r="M278" s="2" t="str">
        <f>HYPERLINK("https://files.afu.se/Downloads/Transcripts/0%20-%20Government/USA%20-%20NASA%20Kennedy/2020 05 08 - NASA's Kennedy Space Center - Inside KSC! for May 8, 2020_oeJcFqyDYX0 - transcript (automated).pdf","Transcript Link")</f>
        <v>Transcript Link</v>
      </c>
    </row>
    <row r="279" ht="180" spans="1:13">
      <c r="A279" s="1" t="s">
        <v>1299</v>
      </c>
      <c r="B279" s="1" t="s">
        <v>13</v>
      </c>
      <c r="C279" s="4" t="s">
        <v>1300</v>
      </c>
      <c r="D279" s="1" t="s">
        <v>1301</v>
      </c>
      <c r="E279" s="1" t="s">
        <v>1302</v>
      </c>
      <c r="F279" s="4" t="s">
        <v>17</v>
      </c>
      <c r="G279" s="1" t="s">
        <v>18</v>
      </c>
      <c r="H279" s="1" t="s">
        <v>19</v>
      </c>
      <c r="I279" s="1" t="s">
        <v>20</v>
      </c>
      <c r="J279" s="1" t="s">
        <v>1303</v>
      </c>
      <c r="K279" s="1" t="s">
        <v>22</v>
      </c>
      <c r="L279" s="1" t="str">
        <f>HYPERLINK("https://files.afu.se/Downloads/Transcripts/0%20-%20Government/USA%20-%20NASA%20Kennedy/2020 05 01 - NASA's Kennedy Space Center - Inside KSC! for May 1, 2020_-vxqjD1e_8s - transcript (automated).pdf","Transcript Link")</f>
        <v>Transcript Link</v>
      </c>
      <c r="M279" s="2" t="str">
        <f>HYPERLINK("https://files.afu.se/Downloads/Transcripts/0%20-%20Government/USA%20-%20NASA%20Kennedy/2020 05 01 - NASA's Kennedy Space Center - Inside KSC! for May 1, 2020_-vxqjD1e_8s - transcript (automated).pdf","Transcript Link")</f>
        <v>Transcript Link</v>
      </c>
    </row>
    <row r="280" ht="180" spans="1:13">
      <c r="A280" s="1" t="s">
        <v>1304</v>
      </c>
      <c r="B280" s="1" t="s">
        <v>13</v>
      </c>
      <c r="C280" s="4" t="s">
        <v>1305</v>
      </c>
      <c r="D280" s="1" t="s">
        <v>1306</v>
      </c>
      <c r="E280" s="1" t="s">
        <v>1307</v>
      </c>
      <c r="F280" s="4" t="s">
        <v>17</v>
      </c>
      <c r="G280" s="1" t="s">
        <v>18</v>
      </c>
      <c r="H280" s="1" t="s">
        <v>19</v>
      </c>
      <c r="I280" s="1" t="s">
        <v>20</v>
      </c>
      <c r="J280" s="1" t="s">
        <v>1308</v>
      </c>
      <c r="K280" s="1" t="s">
        <v>22</v>
      </c>
      <c r="L280" s="1" t="str">
        <f>HYPERLINK("https://files.afu.se/Downloads/Transcripts/0%20-%20Government/USA%20-%20NASA%20Kennedy/2020 04 24 - NASA's Kennedy Space Center - Why an NFL Quarterback Interned at NASA_u9mHc0_M3ug - transcript (automated).pdf","Transcript Link")</f>
        <v>Transcript Link</v>
      </c>
      <c r="M280" s="2" t="str">
        <f>HYPERLINK("https://files.afu.se/Downloads/Transcripts/0%20-%20Government/USA%20-%20NASA%20Kennedy/2020 04 24 - NASA's Kennedy Space Center - Why an NFL Quarterback Interned at NASA_u9mHc0_M3ug - transcript (automated).pdf","Transcript Link")</f>
        <v>Transcript Link</v>
      </c>
    </row>
    <row r="281" ht="180" spans="1:13">
      <c r="A281" s="1" t="s">
        <v>1304</v>
      </c>
      <c r="B281" s="1" t="s">
        <v>13</v>
      </c>
      <c r="C281" s="4" t="s">
        <v>1309</v>
      </c>
      <c r="D281" s="1" t="s">
        <v>1310</v>
      </c>
      <c r="E281" s="1" t="s">
        <v>1311</v>
      </c>
      <c r="F281" s="4" t="s">
        <v>17</v>
      </c>
      <c r="G281" s="1" t="s">
        <v>18</v>
      </c>
      <c r="H281" s="1" t="s">
        <v>19</v>
      </c>
      <c r="I281" s="1" t="s">
        <v>20</v>
      </c>
      <c r="J281" s="1" t="s">
        <v>1312</v>
      </c>
      <c r="K281" s="1" t="s">
        <v>22</v>
      </c>
      <c r="L281" s="1" t="str">
        <f>HYPERLINK("https://files.afu.se/Downloads/Transcripts/0%20-%20Government/USA%20-%20NASA%20Kennedy/2020 04 24 - NASA's Kennedy Space Center - Inside KSC! for April 24, 2020_2jmAbg13xDw - transcript (automated).pdf","Transcript Link")</f>
        <v>Transcript Link</v>
      </c>
      <c r="M281" s="2" t="str">
        <f>HYPERLINK("https://files.afu.se/Downloads/Transcripts/0%20-%20Government/USA%20-%20NASA%20Kennedy/2020 04 24 - NASA's Kennedy Space Center - Inside KSC! for April 24, 2020_2jmAbg13xDw - transcript (automated).pdf","Transcript Link")</f>
        <v>Transcript Link</v>
      </c>
    </row>
    <row r="282" ht="180" spans="1:13">
      <c r="A282" s="1" t="s">
        <v>1313</v>
      </c>
      <c r="B282" s="1" t="s">
        <v>13</v>
      </c>
      <c r="C282" s="4" t="s">
        <v>1314</v>
      </c>
      <c r="D282" s="1" t="s">
        <v>1315</v>
      </c>
      <c r="E282" s="1" t="s">
        <v>1316</v>
      </c>
      <c r="F282" s="4" t="s">
        <v>17</v>
      </c>
      <c r="G282" s="1" t="s">
        <v>18</v>
      </c>
      <c r="H282" s="1" t="s">
        <v>19</v>
      </c>
      <c r="I282" s="1" t="s">
        <v>20</v>
      </c>
      <c r="J282" s="1" t="s">
        <v>1317</v>
      </c>
      <c r="K282" s="1" t="s">
        <v>22</v>
      </c>
      <c r="L282" s="1">
        <v>0</v>
      </c>
      <c r="M282" s="2">
        <v>0</v>
      </c>
    </row>
    <row r="283" ht="180" spans="1:13">
      <c r="A283" s="1" t="s">
        <v>1318</v>
      </c>
      <c r="B283" s="1" t="s">
        <v>13</v>
      </c>
      <c r="C283" s="4" t="s">
        <v>1319</v>
      </c>
      <c r="D283" s="1" t="s">
        <v>1320</v>
      </c>
      <c r="E283" s="1" t="s">
        <v>1321</v>
      </c>
      <c r="F283" s="4" t="s">
        <v>17</v>
      </c>
      <c r="G283" s="1" t="s">
        <v>18</v>
      </c>
      <c r="H283" s="1" t="s">
        <v>19</v>
      </c>
      <c r="I283" s="1" t="s">
        <v>20</v>
      </c>
      <c r="J283" s="1" t="s">
        <v>1322</v>
      </c>
      <c r="K283" s="1" t="s">
        <v>22</v>
      </c>
      <c r="L283" s="1" t="str">
        <f>HYPERLINK("https://files.afu.se/Downloads/Transcripts/0%20-%20Government/USA%20-%20NASA%20Kennedy/2020 04 10 - NASA's Kennedy Space Center - Inside KSC! for April 10, 2020_f3LVpey6bOQ - transcript (automated).pdf","Transcript Link")</f>
        <v>Transcript Link</v>
      </c>
      <c r="M283" s="2" t="str">
        <f>HYPERLINK("https://files.afu.se/Downloads/Transcripts/0%20-%20Government/USA%20-%20NASA%20Kennedy/2020 04 10 - NASA's Kennedy Space Center - Inside KSC! for April 10, 2020_f3LVpey6bOQ - transcript (automated).pdf","Transcript Link")</f>
        <v>Transcript Link</v>
      </c>
    </row>
    <row r="284" ht="180" spans="1:13">
      <c r="A284" s="1" t="s">
        <v>1318</v>
      </c>
      <c r="B284" s="1" t="s">
        <v>13</v>
      </c>
      <c r="C284" s="4" t="s">
        <v>1323</v>
      </c>
      <c r="D284" s="1" t="s">
        <v>1324</v>
      </c>
      <c r="F284" s="4" t="s">
        <v>17</v>
      </c>
      <c r="G284" s="1" t="s">
        <v>18</v>
      </c>
      <c r="H284" s="1" t="s">
        <v>19</v>
      </c>
      <c r="I284" s="1" t="s">
        <v>20</v>
      </c>
      <c r="J284" s="1" t="s">
        <v>1325</v>
      </c>
      <c r="K284" s="1" t="s">
        <v>22</v>
      </c>
      <c r="L284" s="1" t="str">
        <f>HYPERLINK("https://files.afu.se/Downloads/Transcripts/0%20-%20Government/USA%20-%20NASA%20Kennedy/2020 04 10 - NASA's Kennedy Space Center - Gateway Lunar Outpost Animation_A06wDNxB9QI - transcript (automated).pdf","Transcript Link")</f>
        <v>Transcript Link</v>
      </c>
      <c r="M284" s="2" t="str">
        <f>HYPERLINK("https://files.afu.se/Downloads/Transcripts/0%20-%20Government/USA%20-%20NASA%20Kennedy/2020 04 10 - NASA's Kennedy Space Center - Gateway Lunar Outpost Animation_A06wDNxB9QI - transcript (automated).pdf","Transcript Link")</f>
        <v>Transcript Link</v>
      </c>
    </row>
    <row r="285" ht="180" spans="1:13">
      <c r="A285" s="1" t="s">
        <v>1318</v>
      </c>
      <c r="B285" s="1" t="s">
        <v>13</v>
      </c>
      <c r="C285" s="4" t="s">
        <v>1326</v>
      </c>
      <c r="D285" s="1" t="s">
        <v>1327</v>
      </c>
      <c r="F285" s="4" t="s">
        <v>17</v>
      </c>
      <c r="G285" s="1" t="s">
        <v>18</v>
      </c>
      <c r="H285" s="1" t="s">
        <v>19</v>
      </c>
      <c r="I285" s="1" t="s">
        <v>20</v>
      </c>
      <c r="J285" s="1" t="s">
        <v>1328</v>
      </c>
      <c r="K285" s="1" t="s">
        <v>22</v>
      </c>
      <c r="L285" s="1" t="str">
        <f>HYPERLINK("https://files.afu.se/Downloads/Transcripts/0%20-%20Government/USA%20-%20NASA%20Kennedy/2020 04 10 - NASA's Kennedy Space Center - Video Announcement  Gateway Logistics Services Announcement for SpaceX_IF6kz6YXvE0 - transcript (automated).pdf","Transcript Link")</f>
        <v>Transcript Link</v>
      </c>
      <c r="M285" s="2" t="str">
        <f>HYPERLINK("https://files.afu.se/Downloads/Transcripts/0%20-%20Government/USA%20-%20NASA%20Kennedy/2020 04 10 - NASA's Kennedy Space Center - Video Announcement  Gateway Logistics Services Announcement for SpaceX_IF6kz6YXvE0 - transcript (automated).pdf","Transcript Link")</f>
        <v>Transcript Link</v>
      </c>
    </row>
    <row r="286" ht="180" spans="1:13">
      <c r="A286" s="1" t="s">
        <v>1329</v>
      </c>
      <c r="B286" s="1" t="s">
        <v>13</v>
      </c>
      <c r="C286" s="4" t="s">
        <v>1330</v>
      </c>
      <c r="D286" s="1" t="s">
        <v>1331</v>
      </c>
      <c r="E286" s="1" t="s">
        <v>1332</v>
      </c>
      <c r="F286" s="4" t="s">
        <v>17</v>
      </c>
      <c r="G286" s="1" t="s">
        <v>18</v>
      </c>
      <c r="H286" s="1" t="s">
        <v>19</v>
      </c>
      <c r="I286" s="1" t="s">
        <v>20</v>
      </c>
      <c r="J286" s="1" t="s">
        <v>1333</v>
      </c>
      <c r="K286" s="1" t="s">
        <v>22</v>
      </c>
      <c r="L286" s="1" t="str">
        <f>HYPERLINK("https://files.afu.se/Downloads/Transcripts/0%20-%20Government/USA%20-%20NASA%20Kennedy/2020 04 03 - NASA's Kennedy Space Center - Inside KSC! for April 3, 2020_lg-KOKplLl4 - transcript (automated).pdf","Transcript Link")</f>
        <v>Transcript Link</v>
      </c>
      <c r="M286" s="2" t="str">
        <f>HYPERLINK("https://files.afu.se/Downloads/Transcripts/0%20-%20Government/USA%20-%20NASA%20Kennedy/2020 04 03 - NASA's Kennedy Space Center - Inside KSC! for April 3, 2020_lg-KOKplLl4 - transcript (automated).pdf","Transcript Link")</f>
        <v>Transcript Link</v>
      </c>
    </row>
    <row r="287" ht="180" spans="1:13">
      <c r="A287" s="1" t="s">
        <v>1334</v>
      </c>
      <c r="B287" s="1" t="s">
        <v>13</v>
      </c>
      <c r="C287" s="4" t="s">
        <v>1335</v>
      </c>
      <c r="D287" s="1" t="s">
        <v>1336</v>
      </c>
      <c r="E287" s="1" t="s">
        <v>1337</v>
      </c>
      <c r="F287" s="4" t="s">
        <v>17</v>
      </c>
      <c r="G287" s="1" t="s">
        <v>18</v>
      </c>
      <c r="H287" s="1" t="s">
        <v>19</v>
      </c>
      <c r="I287" s="1" t="s">
        <v>20</v>
      </c>
      <c r="J287" s="1" t="s">
        <v>1338</v>
      </c>
      <c r="K287" s="1" t="s">
        <v>22</v>
      </c>
      <c r="L287" s="1" t="str">
        <f>HYPERLINK("https://files.afu.se/Downloads/Transcripts/0%20-%20Government/USA%20-%20NASA%20Kennedy/2020 03 18 - NASA's Kennedy Space Center - Kennedy Puts Priority on Workforce Safety_iqLArDYe7hw - transcript (automated).pdf","Transcript Link")</f>
        <v>Transcript Link</v>
      </c>
      <c r="M287" s="2" t="str">
        <f>HYPERLINK("https://files.afu.se/Downloads/Transcripts/0%20-%20Government/USA%20-%20NASA%20Kennedy/2020 03 18 - NASA's Kennedy Space Center - Kennedy Puts Priority on Workforce Safety_iqLArDYe7hw - transcript (automated).pdf","Transcript Link")</f>
        <v>Transcript Link</v>
      </c>
    </row>
    <row r="288" ht="180" spans="1:13">
      <c r="A288" s="1" t="s">
        <v>1339</v>
      </c>
      <c r="B288" s="1" t="s">
        <v>13</v>
      </c>
      <c r="C288" s="4" t="s">
        <v>1340</v>
      </c>
      <c r="D288" s="1" t="s">
        <v>1341</v>
      </c>
      <c r="E288" s="1" t="s">
        <v>1342</v>
      </c>
      <c r="F288" s="4" t="s">
        <v>17</v>
      </c>
      <c r="G288" s="1" t="s">
        <v>18</v>
      </c>
      <c r="H288" s="1" t="s">
        <v>19</v>
      </c>
      <c r="I288" s="1" t="s">
        <v>20</v>
      </c>
      <c r="J288" s="1" t="s">
        <v>1343</v>
      </c>
      <c r="K288" s="1" t="s">
        <v>22</v>
      </c>
      <c r="L288" s="1" t="str">
        <f>HYPERLINK("https://files.afu.se/Downloads/Transcripts/0%20-%20Government/USA%20-%20NASA%20Kennedy/2020 03 13 - NASA's Kennedy Space Center - Inside KSC! for March 13, 2020_RLGy7CCFnik - transcript (automated).pdf","Transcript Link")</f>
        <v>Transcript Link</v>
      </c>
      <c r="M288" s="2" t="str">
        <f>HYPERLINK("https://files.afu.se/Downloads/Transcripts/0%20-%20Government/USA%20-%20NASA%20Kennedy/2020 03 13 - NASA's Kennedy Space Center - Inside KSC! for March 13, 2020_RLGy7CCFnik - transcript (automated).pdf","Transcript Link")</f>
        <v>Transcript Link</v>
      </c>
    </row>
    <row r="289" ht="180" spans="1:13">
      <c r="A289" s="1" t="s">
        <v>1344</v>
      </c>
      <c r="B289" s="1" t="s">
        <v>13</v>
      </c>
      <c r="C289" s="4" t="s">
        <v>1345</v>
      </c>
      <c r="D289" s="1" t="s">
        <v>1346</v>
      </c>
      <c r="E289" s="1" t="s">
        <v>1347</v>
      </c>
      <c r="F289" s="4" t="s">
        <v>17</v>
      </c>
      <c r="G289" s="1" t="s">
        <v>18</v>
      </c>
      <c r="H289" s="1" t="s">
        <v>19</v>
      </c>
      <c r="I289" s="1" t="s">
        <v>20</v>
      </c>
      <c r="J289" s="1" t="s">
        <v>1348</v>
      </c>
      <c r="K289" s="1" t="s">
        <v>22</v>
      </c>
      <c r="L289" s="1" t="str">
        <f>HYPERLINK("https://files.afu.se/Downloads/Transcripts/0%20-%20Government/USA%20-%20NASA%20Kennedy/2020 03 07 - NASA's Kennedy Space Center - SpaceX CRS-20  Dragon Spacecraft Separation_kl2tGznF4j4 - transcript (automated).pdf","Transcript Link")</f>
        <v>Transcript Link</v>
      </c>
      <c r="M289" s="2" t="str">
        <f>HYPERLINK("https://files.afu.se/Downloads/Transcripts/0%20-%20Government/USA%20-%20NASA%20Kennedy/2020 03 07 - NASA's Kennedy Space Center - SpaceX CRS-20  Dragon Spacecraft Separation_kl2tGznF4j4 - transcript (automated).pdf","Transcript Link")</f>
        <v>Transcript Link</v>
      </c>
    </row>
    <row r="290" ht="180" spans="1:13">
      <c r="A290" s="1" t="s">
        <v>1344</v>
      </c>
      <c r="B290" s="1" t="s">
        <v>13</v>
      </c>
      <c r="C290" s="4" t="s">
        <v>1349</v>
      </c>
      <c r="D290" s="1" t="s">
        <v>1350</v>
      </c>
      <c r="E290" s="1" t="s">
        <v>1351</v>
      </c>
      <c r="F290" s="4" t="s">
        <v>17</v>
      </c>
      <c r="G290" s="1" t="s">
        <v>18</v>
      </c>
      <c r="H290" s="1" t="s">
        <v>19</v>
      </c>
      <c r="I290" s="1" t="s">
        <v>20</v>
      </c>
      <c r="J290" s="1" t="s">
        <v>1352</v>
      </c>
      <c r="K290" s="1" t="s">
        <v>22</v>
      </c>
      <c r="L290" s="1" t="str">
        <f>HYPERLINK("https://files.afu.se/Downloads/Transcripts/0%20-%20Government/USA%20-%20NASA%20Kennedy/2020 03 07 - NASA's Kennedy Space Center - SpaceX CRS-20  Liftoff_8CluuelCu3E - transcript (automated).pdf","Transcript Link")</f>
        <v>Transcript Link</v>
      </c>
      <c r="M290" s="2" t="str">
        <f>HYPERLINK("https://files.afu.se/Downloads/Transcripts/0%20-%20Government/USA%20-%20NASA%20Kennedy/2020 03 07 - NASA's Kennedy Space Center - SpaceX CRS-20  Liftoff_8CluuelCu3E - transcript (automated).pdf","Transcript Link")</f>
        <v>Transcript Link</v>
      </c>
    </row>
    <row r="291" ht="180" spans="1:13">
      <c r="A291" s="1" t="s">
        <v>1344</v>
      </c>
      <c r="B291" s="1" t="s">
        <v>13</v>
      </c>
      <c r="C291" s="4" t="s">
        <v>1353</v>
      </c>
      <c r="D291" s="1" t="s">
        <v>1354</v>
      </c>
      <c r="E291" s="1" t="s">
        <v>1355</v>
      </c>
      <c r="F291" s="4" t="s">
        <v>17</v>
      </c>
      <c r="G291" s="1" t="s">
        <v>18</v>
      </c>
      <c r="H291" s="1" t="s">
        <v>19</v>
      </c>
      <c r="I291" s="1" t="s">
        <v>20</v>
      </c>
      <c r="J291" s="1" t="s">
        <v>1356</v>
      </c>
      <c r="K291" s="1" t="s">
        <v>22</v>
      </c>
      <c r="L291" s="1" t="str">
        <f>HYPERLINK("https://files.afu.se/Downloads/Transcripts/0%20-%20Government/USA%20-%20NASA%20Kennedy/2020 03 07 - NASA's Kennedy Space Center - SpaceX CRS-20  Launch Broadcast Begins_2OGxrvxoh8E - transcript (automated).pdf","Transcript Link")</f>
        <v>Transcript Link</v>
      </c>
      <c r="M291" s="2" t="str">
        <f>HYPERLINK("https://files.afu.se/Downloads/Transcripts/0%20-%20Government/USA%20-%20NASA%20Kennedy/2020 03 07 - NASA's Kennedy Space Center - SpaceX CRS-20  Launch Broadcast Begins_2OGxrvxoh8E - transcript (automated).pdf","Transcript Link")</f>
        <v>Transcript Link</v>
      </c>
    </row>
    <row r="292" ht="180" spans="1:13">
      <c r="A292" s="1" t="s">
        <v>1357</v>
      </c>
      <c r="B292" s="1" t="s">
        <v>13</v>
      </c>
      <c r="C292" s="4" t="s">
        <v>1358</v>
      </c>
      <c r="D292" s="1" t="s">
        <v>1359</v>
      </c>
      <c r="E292" s="1" t="s">
        <v>1360</v>
      </c>
      <c r="F292" s="4" t="s">
        <v>17</v>
      </c>
      <c r="G292" s="1" t="s">
        <v>18</v>
      </c>
      <c r="H292" s="1" t="s">
        <v>19</v>
      </c>
      <c r="I292" s="1" t="s">
        <v>20</v>
      </c>
      <c r="J292" s="1" t="s">
        <v>1361</v>
      </c>
      <c r="K292" s="1" t="s">
        <v>22</v>
      </c>
      <c r="L292" s="1" t="str">
        <f>HYPERLINK("https://files.afu.se/Downloads/Transcripts/0%20-%20Government/USA%20-%20NASA%20Kennedy/2020 03 06 - NASA's Kennedy Space Center - Inside KSC! for March 6, 2020_ZOUjIL7Seks - transcript (automated).pdf","Transcript Link")</f>
        <v>Transcript Link</v>
      </c>
      <c r="M292" s="2" t="str">
        <f>HYPERLINK("https://files.afu.se/Downloads/Transcripts/0%20-%20Government/USA%20-%20NASA%20Kennedy/2020 03 06 - NASA's Kennedy Space Center - Inside KSC! for March 6, 2020_ZOUjIL7Seks - transcript (automated).pdf","Transcript Link")</f>
        <v>Transcript Link</v>
      </c>
    </row>
    <row r="293" ht="180" spans="1:13">
      <c r="A293" s="1" t="s">
        <v>1362</v>
      </c>
      <c r="B293" s="1" t="s">
        <v>13</v>
      </c>
      <c r="C293" s="4" t="s">
        <v>1363</v>
      </c>
      <c r="D293" s="1" t="s">
        <v>1364</v>
      </c>
      <c r="E293" s="1" t="s">
        <v>1365</v>
      </c>
      <c r="F293" s="4" t="s">
        <v>17</v>
      </c>
      <c r="G293" s="1" t="s">
        <v>18</v>
      </c>
      <c r="H293" s="1" t="s">
        <v>19</v>
      </c>
      <c r="I293" s="1" t="s">
        <v>20</v>
      </c>
      <c r="J293" s="1" t="s">
        <v>1366</v>
      </c>
      <c r="K293" s="1" t="s">
        <v>22</v>
      </c>
      <c r="L293" s="1" t="str">
        <f>HYPERLINK("https://files.afu.se/Downloads/Transcripts/0%20-%20Government/USA%20-%20NASA%20Kennedy/2020 02 28 - NASA's Kennedy Space Center - Inside KSC! for Feb. 28, 2020_QM-AocQlaq8 - transcript (automated).pdf","Transcript Link")</f>
        <v>Transcript Link</v>
      </c>
      <c r="M293" s="2" t="str">
        <f>HYPERLINK("https://files.afu.se/Downloads/Transcripts/0%20-%20Government/USA%20-%20NASA%20Kennedy/2020 02 28 - NASA's Kennedy Space Center - Inside KSC! for Feb. 28, 2020_QM-AocQlaq8 - transcript (automated).pdf","Transcript Link")</f>
        <v>Transcript Link</v>
      </c>
    </row>
    <row r="294" ht="180" spans="1:13">
      <c r="A294" s="1" t="s">
        <v>1367</v>
      </c>
      <c r="B294" s="1" t="s">
        <v>13</v>
      </c>
      <c r="C294" s="4" t="s">
        <v>1368</v>
      </c>
      <c r="D294" s="1" t="s">
        <v>1369</v>
      </c>
      <c r="E294" s="1" t="s">
        <v>1370</v>
      </c>
      <c r="F294" s="4" t="s">
        <v>17</v>
      </c>
      <c r="G294" s="1" t="s">
        <v>18</v>
      </c>
      <c r="H294" s="1" t="s">
        <v>19</v>
      </c>
      <c r="I294" s="1" t="s">
        <v>20</v>
      </c>
      <c r="J294" s="1" t="s">
        <v>1371</v>
      </c>
      <c r="K294" s="1" t="s">
        <v>22</v>
      </c>
      <c r="L294" s="1" t="str">
        <f>HYPERLINK("https://files.afu.se/Downloads/Transcripts/0%20-%20Government/USA%20-%20NASA%20Kennedy/2020 02 27 - NASA's Kennedy Space Center - Rocket Ranch Episode 20  Space Explorer_e4YdMqsr3K0 - transcript (automated).pdf","Transcript Link")</f>
        <v>Transcript Link</v>
      </c>
      <c r="M294" s="2" t="str">
        <f>HYPERLINK("https://files.afu.se/Downloads/Transcripts/0%20-%20Government/USA%20-%20NASA%20Kennedy/2020 02 27 - NASA's Kennedy Space Center - Rocket Ranch Episode 20  Space Explorer_e4YdMqsr3K0 - transcript (automated).pdf","Transcript Link")</f>
        <v>Transcript Link</v>
      </c>
    </row>
    <row r="295" ht="180" spans="1:13">
      <c r="A295" s="1" t="s">
        <v>1372</v>
      </c>
      <c r="B295" s="1" t="s">
        <v>13</v>
      </c>
      <c r="C295" s="4" t="s">
        <v>1373</v>
      </c>
      <c r="D295" s="1" t="s">
        <v>1374</v>
      </c>
      <c r="E295" s="1" t="s">
        <v>1375</v>
      </c>
      <c r="F295" s="4" t="s">
        <v>17</v>
      </c>
      <c r="G295" s="1" t="s">
        <v>18</v>
      </c>
      <c r="H295" s="1" t="s">
        <v>19</v>
      </c>
      <c r="I295" s="1" t="s">
        <v>20</v>
      </c>
      <c r="J295" s="1" t="s">
        <v>1376</v>
      </c>
      <c r="K295" s="1" t="s">
        <v>22</v>
      </c>
      <c r="L295" s="1" t="str">
        <f>HYPERLINK("https://files.afu.se/Downloads/Transcripts/0%20-%20Government/USA%20-%20NASA%20Kennedy/2020 02 21 - NASA's Kennedy Space Center - Inside KSC! for Feb. 21, 2020_jArVx75gjos - transcript (automated).pdf","Transcript Link")</f>
        <v>Transcript Link</v>
      </c>
      <c r="M295" s="2" t="str">
        <f>HYPERLINK("https://files.afu.se/Downloads/Transcripts/0%20-%20Government/USA%20-%20NASA%20Kennedy/2020 02 21 - NASA's Kennedy Space Center - Inside KSC! for Feb. 21, 2020_jArVx75gjos - transcript (automated).pdf","Transcript Link")</f>
        <v>Transcript Link</v>
      </c>
    </row>
    <row r="296" ht="409.5" spans="1:13">
      <c r="A296" s="1" t="s">
        <v>1377</v>
      </c>
      <c r="B296" s="1" t="s">
        <v>13</v>
      </c>
      <c r="C296" s="4" t="s">
        <v>1378</v>
      </c>
      <c r="D296" s="1" t="s">
        <v>1379</v>
      </c>
      <c r="E296" s="1" t="s">
        <v>1380</v>
      </c>
      <c r="F296" s="4" t="s">
        <v>17</v>
      </c>
      <c r="G296" s="1" t="s">
        <v>18</v>
      </c>
      <c r="H296" s="1" t="s">
        <v>19</v>
      </c>
      <c r="I296" s="1" t="s">
        <v>20</v>
      </c>
      <c r="J296" s="1" t="s">
        <v>1381</v>
      </c>
      <c r="K296" s="1" t="s">
        <v>22</v>
      </c>
      <c r="L296" s="1" t="str">
        <f>HYPERLINK("https://files.afu.se/Downloads/Transcripts/0%20-%20Government/USA%20-%20NASA%20Kennedy/2020 02 20 - NASA's Kennedy Space Center - OSCAR  NASA is developing tech for recycling in space_tgZOWZHF8T8 - transcript (automated).pdf","Transcript Link")</f>
        <v>Transcript Link</v>
      </c>
      <c r="M296" s="2" t="str">
        <f>HYPERLINK("https://files.afu.se/Downloads/Transcripts/0%20-%20Government/USA%20-%20NASA%20Kennedy/2020 02 20 - NASA's Kennedy Space Center - OSCAR  NASA is developing tech for recycling in space_tgZOWZHF8T8 - transcript (automated).pdf","Transcript Link")</f>
        <v>Transcript Link</v>
      </c>
    </row>
    <row r="297" ht="180" spans="1:13">
      <c r="A297" s="1" t="s">
        <v>1382</v>
      </c>
      <c r="B297" s="1" t="s">
        <v>13</v>
      </c>
      <c r="C297" s="4" t="s">
        <v>1383</v>
      </c>
      <c r="D297" s="1" t="s">
        <v>1384</v>
      </c>
      <c r="E297" s="1" t="s">
        <v>1385</v>
      </c>
      <c r="F297" s="4" t="s">
        <v>17</v>
      </c>
      <c r="G297" s="1" t="s">
        <v>18</v>
      </c>
      <c r="H297" s="1" t="s">
        <v>19</v>
      </c>
      <c r="I297" s="1" t="s">
        <v>20</v>
      </c>
      <c r="J297" s="1" t="s">
        <v>1386</v>
      </c>
      <c r="K297" s="1" t="s">
        <v>22</v>
      </c>
      <c r="L297" s="1" t="str">
        <f>HYPERLINK("https://files.afu.se/Downloads/Transcripts/0%20-%20Government/USA%20-%20NASA%20Kennedy/2020 02 19 - NASA's Kennedy Space Center - Artemis at Kennedy Space Center_nJsvGZvf7D0 - transcript (automated).pdf","Transcript Link")</f>
        <v>Transcript Link</v>
      </c>
      <c r="M297" s="2" t="str">
        <f>HYPERLINK("https://files.afu.se/Downloads/Transcripts/0%20-%20Government/USA%20-%20NASA%20Kennedy/2020 02 19 - NASA's Kennedy Space Center - Artemis at Kennedy Space Center_nJsvGZvf7D0 - transcript (automated).pdf","Transcript Link")</f>
        <v>Transcript Link</v>
      </c>
    </row>
    <row r="298" ht="180" spans="1:13">
      <c r="A298" s="1" t="s">
        <v>1387</v>
      </c>
      <c r="B298" s="1" t="s">
        <v>13</v>
      </c>
      <c r="C298" s="4" t="s">
        <v>1388</v>
      </c>
      <c r="D298" s="1" t="s">
        <v>1389</v>
      </c>
      <c r="E298" s="1" t="s">
        <v>1390</v>
      </c>
      <c r="F298" s="4" t="s">
        <v>17</v>
      </c>
      <c r="G298" s="1" t="s">
        <v>18</v>
      </c>
      <c r="H298" s="1" t="s">
        <v>19</v>
      </c>
      <c r="I298" s="1" t="s">
        <v>20</v>
      </c>
      <c r="J298" s="1" t="s">
        <v>1391</v>
      </c>
      <c r="K298" s="1" t="s">
        <v>22</v>
      </c>
      <c r="L298" s="1" t="str">
        <f>HYPERLINK("https://files.afu.se/Downloads/Transcripts/0%20-%20Government/USA%20-%20NASA%20Kennedy/2020 02 14 - NASA's Kennedy Space Center - Inside KSC! for Feb. 14, 2020_DRWpwM7yIJk - transcript (automated).pdf","Transcript Link")</f>
        <v>Transcript Link</v>
      </c>
      <c r="M298" s="2" t="str">
        <f>HYPERLINK("https://files.afu.se/Downloads/Transcripts/0%20-%20Government/USA%20-%20NASA%20Kennedy/2020 02 14 - NASA's Kennedy Space Center - Inside KSC! for Feb. 14, 2020_DRWpwM7yIJk - transcript (automated).pdf","Transcript Link")</f>
        <v>Transcript Link</v>
      </c>
    </row>
    <row r="299" ht="180" spans="1:13">
      <c r="A299" s="1" t="s">
        <v>1392</v>
      </c>
      <c r="B299" s="1" t="s">
        <v>13</v>
      </c>
      <c r="C299" s="4" t="s">
        <v>1393</v>
      </c>
      <c r="D299" s="1" t="s">
        <v>1394</v>
      </c>
      <c r="E299" s="1" t="s">
        <v>1395</v>
      </c>
      <c r="F299" s="4" t="s">
        <v>17</v>
      </c>
      <c r="G299" s="1" t="s">
        <v>18</v>
      </c>
      <c r="H299" s="1" t="s">
        <v>19</v>
      </c>
      <c r="I299" s="1" t="s">
        <v>20</v>
      </c>
      <c r="J299" s="1" t="s">
        <v>1396</v>
      </c>
      <c r="K299" s="1" t="s">
        <v>22</v>
      </c>
      <c r="L299" s="1" t="str">
        <f>HYPERLINK("https://files.afu.se/Downloads/Transcripts/0%20-%20Government/USA%20-%20NASA%20Kennedy/2020 02 10 - NASA's Kennedy Space Center - Interview with Solar Orbiter Program Manager Cesar Garcia_yKrIo54T1oY - transcript (automated).pdf","Transcript Link")</f>
        <v>Transcript Link</v>
      </c>
      <c r="M299" s="2" t="str">
        <f>HYPERLINK("https://files.afu.se/Downloads/Transcripts/0%20-%20Government/USA%20-%20NASA%20Kennedy/2020 02 10 - NASA's Kennedy Space Center - Interview with Solar Orbiter Program Manager Cesar Garcia_yKrIo54T1oY - transcript (automated).pdf","Transcript Link")</f>
        <v>Transcript Link</v>
      </c>
    </row>
    <row r="300" ht="180" spans="1:13">
      <c r="A300" s="1" t="s">
        <v>1392</v>
      </c>
      <c r="B300" s="1" t="s">
        <v>13</v>
      </c>
      <c r="C300" s="4" t="s">
        <v>1397</v>
      </c>
      <c r="D300" s="1" t="s">
        <v>1398</v>
      </c>
      <c r="E300" s="1" t="s">
        <v>1399</v>
      </c>
      <c r="F300" s="4" t="s">
        <v>17</v>
      </c>
      <c r="G300" s="1" t="s">
        <v>18</v>
      </c>
      <c r="H300" s="1" t="s">
        <v>19</v>
      </c>
      <c r="I300" s="1" t="s">
        <v>20</v>
      </c>
      <c r="J300" s="1" t="s">
        <v>1400</v>
      </c>
      <c r="K300" s="1" t="s">
        <v>22</v>
      </c>
      <c r="L300" s="1" t="str">
        <f>HYPERLINK("https://files.afu.se/Downloads/Transcripts/0%20-%20Government/USA%20-%20NASA%20Kennedy/2020 02 10 - NASA's Kennedy Space Center - Post Solar Orbiter Launch Interview with Tim Dunn_wB1bB3EuJok - transcript (automated).pdf","Transcript Link")</f>
        <v>Transcript Link</v>
      </c>
      <c r="M300" s="2" t="str">
        <f>HYPERLINK("https://files.afu.se/Downloads/Transcripts/0%20-%20Government/USA%20-%20NASA%20Kennedy/2020 02 10 - NASA's Kennedy Space Center - Post Solar Orbiter Launch Interview with Tim Dunn_wB1bB3EuJok - transcript (automated).pdf","Transcript Link")</f>
        <v>Transcript Link</v>
      </c>
    </row>
    <row r="301" ht="180" spans="1:13">
      <c r="A301" s="1" t="s">
        <v>1392</v>
      </c>
      <c r="B301" s="1" t="s">
        <v>13</v>
      </c>
      <c r="C301" s="4" t="s">
        <v>1401</v>
      </c>
      <c r="D301" s="1" t="s">
        <v>1402</v>
      </c>
      <c r="E301" s="1" t="s">
        <v>1403</v>
      </c>
      <c r="F301" s="4" t="s">
        <v>17</v>
      </c>
      <c r="G301" s="1" t="s">
        <v>18</v>
      </c>
      <c r="H301" s="1" t="s">
        <v>19</v>
      </c>
      <c r="I301" s="1" t="s">
        <v>20</v>
      </c>
      <c r="J301" s="1" t="s">
        <v>1404</v>
      </c>
      <c r="K301" s="1" t="s">
        <v>22</v>
      </c>
      <c r="L301" s="1" t="str">
        <f>HYPERLINK("https://files.afu.se/Downloads/Transcripts/0%20-%20Government/USA%20-%20NASA%20Kennedy/2020 02 10 - NASA's Kennedy Space Center - Solar Orbiter Lifts Off!_oJSGoWPZVO4 - transcript (automated).pdf","Transcript Link")</f>
        <v>Transcript Link</v>
      </c>
      <c r="M301" s="2" t="str">
        <f>HYPERLINK("https://files.afu.se/Downloads/Transcripts/0%20-%20Government/USA%20-%20NASA%20Kennedy/2020 02 10 - NASA's Kennedy Space Center - Solar Orbiter Lifts Off!_oJSGoWPZVO4 - transcript (automated).pdf","Transcript Link")</f>
        <v>Transcript Link</v>
      </c>
    </row>
    <row r="302" ht="180" spans="1:13">
      <c r="A302" s="1" t="s">
        <v>1392</v>
      </c>
      <c r="B302" s="1" t="s">
        <v>13</v>
      </c>
      <c r="C302" s="4" t="s">
        <v>1405</v>
      </c>
      <c r="D302" s="1" t="s">
        <v>1406</v>
      </c>
      <c r="E302" s="1" t="s">
        <v>1407</v>
      </c>
      <c r="F302" s="4" t="s">
        <v>17</v>
      </c>
      <c r="G302" s="1" t="s">
        <v>18</v>
      </c>
      <c r="H302" s="1" t="s">
        <v>19</v>
      </c>
      <c r="I302" s="1" t="s">
        <v>20</v>
      </c>
      <c r="J302" s="1" t="s">
        <v>1408</v>
      </c>
      <c r="K302" s="1" t="s">
        <v>22</v>
      </c>
      <c r="L302" s="1" t="str">
        <f>HYPERLINK("https://files.afu.se/Downloads/Transcripts/0%20-%20Government/USA%20-%20NASA%20Kennedy/2020 02 10 - NASA's Kennedy Space Center - Solar Orbiter Status Poll_GBNYMBsGcsM - transcript (automated).pdf","Transcript Link")</f>
        <v>Transcript Link</v>
      </c>
      <c r="M302" s="2" t="str">
        <f>HYPERLINK("https://files.afu.se/Downloads/Transcripts/0%20-%20Government/USA%20-%20NASA%20Kennedy/2020 02 10 - NASA's Kennedy Space Center - Solar Orbiter Status Poll_GBNYMBsGcsM - transcript (automated).pdf","Transcript Link")</f>
        <v>Transcript Link</v>
      </c>
    </row>
    <row r="303" ht="180" spans="1:13">
      <c r="A303" s="1" t="s">
        <v>1392</v>
      </c>
      <c r="B303" s="1" t="s">
        <v>13</v>
      </c>
      <c r="C303" s="4" t="s">
        <v>1409</v>
      </c>
      <c r="D303" s="1" t="s">
        <v>1410</v>
      </c>
      <c r="E303" s="1" t="s">
        <v>1411</v>
      </c>
      <c r="F303" s="4" t="s">
        <v>17</v>
      </c>
      <c r="G303" s="1" t="s">
        <v>18</v>
      </c>
      <c r="H303" s="1" t="s">
        <v>19</v>
      </c>
      <c r="I303" s="1" t="s">
        <v>20</v>
      </c>
      <c r="J303" s="1" t="s">
        <v>1412</v>
      </c>
      <c r="K303" s="1" t="s">
        <v>22</v>
      </c>
      <c r="L303" s="1" t="str">
        <f>HYPERLINK("https://files.afu.se/Downloads/Transcripts/0%20-%20Government/USA%20-%20NASA%20Kennedy/2020 02 10 - NASA's Kennedy Space Center - Solar Orbiter Broadcast Show Open_us2dgwB_hVI - transcript (automated).pdf","Transcript Link")</f>
        <v>Transcript Link</v>
      </c>
      <c r="M303" s="2" t="str">
        <f>HYPERLINK("https://files.afu.se/Downloads/Transcripts/0%20-%20Government/USA%20-%20NASA%20Kennedy/2020 02 10 - NASA's Kennedy Space Center - Solar Orbiter Broadcast Show Open_us2dgwB_hVI - transcript (automated).pdf","Transcript Link")</f>
        <v>Transcript Link</v>
      </c>
    </row>
    <row r="304" ht="409.5" spans="1:13">
      <c r="A304" s="1" t="s">
        <v>1413</v>
      </c>
      <c r="B304" s="1" t="s">
        <v>13</v>
      </c>
      <c r="C304" s="4" t="s">
        <v>1414</v>
      </c>
      <c r="D304" s="1" t="s">
        <v>1415</v>
      </c>
      <c r="E304" s="1" t="s">
        <v>1416</v>
      </c>
      <c r="F304" s="4" t="s">
        <v>17</v>
      </c>
      <c r="G304" s="1" t="s">
        <v>18</v>
      </c>
      <c r="H304" s="1" t="s">
        <v>19</v>
      </c>
      <c r="I304" s="1" t="s">
        <v>20</v>
      </c>
      <c r="J304" s="1" t="s">
        <v>1417</v>
      </c>
      <c r="K304" s="1" t="s">
        <v>22</v>
      </c>
      <c r="L304" s="1">
        <v>0</v>
      </c>
      <c r="M304" s="2">
        <v>0</v>
      </c>
    </row>
    <row r="305" ht="180" spans="1:13">
      <c r="A305" s="1" t="s">
        <v>1418</v>
      </c>
      <c r="B305" s="1" t="s">
        <v>13</v>
      </c>
      <c r="C305" s="4" t="s">
        <v>1419</v>
      </c>
      <c r="D305" s="1" t="s">
        <v>1420</v>
      </c>
      <c r="E305" s="1" t="s">
        <v>1421</v>
      </c>
      <c r="F305" s="4" t="s">
        <v>17</v>
      </c>
      <c r="G305" s="1" t="s">
        <v>18</v>
      </c>
      <c r="H305" s="1" t="s">
        <v>19</v>
      </c>
      <c r="I305" s="1" t="s">
        <v>20</v>
      </c>
      <c r="J305" s="1" t="s">
        <v>1422</v>
      </c>
      <c r="K305" s="1" t="s">
        <v>22</v>
      </c>
      <c r="L305" s="1" t="str">
        <f>HYPERLINK("https://files.afu.se/Downloads/Transcripts/0%20-%20Government/USA%20-%20NASA%20Kennedy/2020 02 07 - NASA's Kennedy Space Center - Inside KSC! for Feb. 7, 2020_V-necEn5W_Y - transcript (automated).pdf","Transcript Link")</f>
        <v>Transcript Link</v>
      </c>
      <c r="M305" s="2" t="str">
        <f>HYPERLINK("https://files.afu.se/Downloads/Transcripts/0%20-%20Government/USA%20-%20NASA%20Kennedy/2020 02 07 - NASA's Kennedy Space Center - Inside KSC! for Feb. 7, 2020_V-necEn5W_Y - transcript (automated).pdf","Transcript Link")</f>
        <v>Transcript Link</v>
      </c>
    </row>
    <row r="306" ht="180" spans="1:13">
      <c r="A306" s="1" t="s">
        <v>1423</v>
      </c>
      <c r="B306" s="1" t="s">
        <v>13</v>
      </c>
      <c r="C306" s="4" t="s">
        <v>1424</v>
      </c>
      <c r="D306" s="1" t="s">
        <v>1425</v>
      </c>
      <c r="E306" s="1" t="s">
        <v>1426</v>
      </c>
      <c r="F306" s="4" t="s">
        <v>17</v>
      </c>
      <c r="G306" s="1" t="s">
        <v>18</v>
      </c>
      <c r="H306" s="1" t="s">
        <v>19</v>
      </c>
      <c r="I306" s="1" t="s">
        <v>20</v>
      </c>
      <c r="J306" s="1" t="s">
        <v>1427</v>
      </c>
      <c r="K306" s="1" t="s">
        <v>22</v>
      </c>
      <c r="L306" s="1" t="str">
        <f>HYPERLINK("https://files.afu.se/Downloads/Transcripts/0%20-%20Government/USA%20-%20NASA%20Kennedy/2020 02 05 - NASA's Kennedy Space Center - Rocket Ranch Episode 19  Launching Artemis_H1yhoVMBQFQ - transcript (automated).pdf","Transcript Link")</f>
        <v>Transcript Link</v>
      </c>
      <c r="M306" s="2" t="str">
        <f>HYPERLINK("https://files.afu.se/Downloads/Transcripts/0%20-%20Government/USA%20-%20NASA%20Kennedy/2020 02 05 - NASA's Kennedy Space Center - Rocket Ranch Episode 19  Launching Artemis_H1yhoVMBQFQ - transcript (automated).pdf","Transcript Link")</f>
        <v>Transcript Link</v>
      </c>
    </row>
    <row r="307" ht="180" spans="1:13">
      <c r="A307" s="1" t="s">
        <v>1428</v>
      </c>
      <c r="B307" s="1" t="s">
        <v>13</v>
      </c>
      <c r="C307" s="4" t="s">
        <v>1429</v>
      </c>
      <c r="D307" s="1" t="s">
        <v>1430</v>
      </c>
      <c r="E307" s="1" t="s">
        <v>1431</v>
      </c>
      <c r="F307" s="4" t="s">
        <v>17</v>
      </c>
      <c r="G307" s="1" t="s">
        <v>18</v>
      </c>
      <c r="H307" s="1" t="s">
        <v>19</v>
      </c>
      <c r="I307" s="1" t="s">
        <v>20</v>
      </c>
      <c r="J307" s="1" t="s">
        <v>1432</v>
      </c>
      <c r="K307" s="1" t="s">
        <v>22</v>
      </c>
      <c r="L307" s="1" t="str">
        <f>HYPERLINK("https://files.afu.se/Downloads/Transcripts/0%20-%20Government/USA%20-%20NASA%20Kennedy/2020 01 31 - NASA's Kennedy Space Center - Inside KSC! for Jan. 31, 2020_PCkAe6KKG6I - transcript (automated).pdf","Transcript Link")</f>
        <v>Transcript Link</v>
      </c>
      <c r="M307" s="2" t="str">
        <f>HYPERLINK("https://files.afu.se/Downloads/Transcripts/0%20-%20Government/USA%20-%20NASA%20Kennedy/2020 01 31 - NASA's Kennedy Space Center - Inside KSC! for Jan. 31, 2020_PCkAe6KKG6I - transcript (automated).pdf","Transcript Link")</f>
        <v>Transcript Link</v>
      </c>
    </row>
    <row r="308" ht="180" spans="1:13">
      <c r="A308" s="1" t="s">
        <v>1433</v>
      </c>
      <c r="B308" s="1" t="s">
        <v>13</v>
      </c>
      <c r="C308" s="4" t="s">
        <v>1434</v>
      </c>
      <c r="D308" s="1" t="s">
        <v>1435</v>
      </c>
      <c r="E308" s="1" t="s">
        <v>1436</v>
      </c>
      <c r="F308" s="4" t="s">
        <v>17</v>
      </c>
      <c r="G308" s="1" t="s">
        <v>18</v>
      </c>
      <c r="H308" s="1" t="s">
        <v>19</v>
      </c>
      <c r="I308" s="1" t="s">
        <v>20</v>
      </c>
      <c r="J308" s="1" t="s">
        <v>1437</v>
      </c>
      <c r="K308" s="1" t="s">
        <v>22</v>
      </c>
      <c r="L308" s="1" t="str">
        <f>HYPERLINK("https://files.afu.se/Downloads/Transcripts/0%20-%20Government/USA%20-%20NASA%20Kennedy/2020 01 27 - NASA's Kennedy Space Center - NASA Commercial Crew  Returning Human Spaceflight to America_WrX0287xk10 - transcript (automated).pdf","Transcript Link")</f>
        <v>Transcript Link</v>
      </c>
      <c r="M308" s="2" t="str">
        <f>HYPERLINK("https://files.afu.se/Downloads/Transcripts/0%20-%20Government/USA%20-%20NASA%20Kennedy/2020 01 27 - NASA's Kennedy Space Center - NASA Commercial Crew  Returning Human Spaceflight to America_WrX0287xk10 - transcript (automated).pdf","Transcript Link")</f>
        <v>Transcript Link</v>
      </c>
    </row>
    <row r="309" ht="180" spans="1:13">
      <c r="A309" s="1" t="s">
        <v>1438</v>
      </c>
      <c r="B309" s="1" t="s">
        <v>13</v>
      </c>
      <c r="C309" s="4" t="s">
        <v>1439</v>
      </c>
      <c r="D309" s="1" t="s">
        <v>1440</v>
      </c>
      <c r="E309" s="1" t="s">
        <v>1441</v>
      </c>
      <c r="F309" s="4" t="s">
        <v>17</v>
      </c>
      <c r="G309" s="1" t="s">
        <v>18</v>
      </c>
      <c r="H309" s="1" t="s">
        <v>19</v>
      </c>
      <c r="I309" s="1" t="s">
        <v>20</v>
      </c>
      <c r="J309" s="1" t="s">
        <v>1442</v>
      </c>
      <c r="K309" s="1" t="s">
        <v>22</v>
      </c>
      <c r="L309" s="1" t="str">
        <f>HYPERLINK("https://files.afu.se/Downloads/Transcripts/0%20-%20Government/USA%20-%20NASA%20Kennedy/2020 01 24 - NASA's Kennedy Space Center - Inside KSC! for Jan. 24, 2020_QkVRsbPhx_8 - transcript (automated).pdf","Transcript Link")</f>
        <v>Transcript Link</v>
      </c>
      <c r="M309" s="2" t="str">
        <f>HYPERLINK("https://files.afu.se/Downloads/Transcripts/0%20-%20Government/USA%20-%20NASA%20Kennedy/2020 01 24 - NASA's Kennedy Space Center - Inside KSC! for Jan. 24, 2020_QkVRsbPhx_8 - transcript (automated).pdf","Transcript Link")</f>
        <v>Transcript Link</v>
      </c>
    </row>
    <row r="310" ht="180" spans="1:13">
      <c r="A310" s="1" t="s">
        <v>1443</v>
      </c>
      <c r="B310" s="1" t="s">
        <v>13</v>
      </c>
      <c r="C310" s="4" t="s">
        <v>1444</v>
      </c>
      <c r="D310" s="1" t="s">
        <v>1445</v>
      </c>
      <c r="E310" s="1" t="s">
        <v>1446</v>
      </c>
      <c r="F310" s="4" t="s">
        <v>17</v>
      </c>
      <c r="G310" s="1" t="s">
        <v>18</v>
      </c>
      <c r="H310" s="1" t="s">
        <v>19</v>
      </c>
      <c r="I310" s="1" t="s">
        <v>20</v>
      </c>
      <c r="J310" s="1" t="s">
        <v>1447</v>
      </c>
      <c r="K310" s="1" t="s">
        <v>22</v>
      </c>
      <c r="L310" s="1" t="str">
        <f>HYPERLINK("https://files.afu.se/Downloads/Transcripts/0%20-%20Government/USA%20-%20NASA%20Kennedy/2020 01 19 - NASA's Kennedy Space Center - SpaceX In-Flight Abort Test_4z4-OLSfdSc - transcript (automated).pdf","Transcript Link")</f>
        <v>Transcript Link</v>
      </c>
      <c r="M310" s="2" t="str">
        <f>HYPERLINK("https://files.afu.se/Downloads/Transcripts/0%20-%20Government/USA%20-%20NASA%20Kennedy/2020 01 19 - NASA's Kennedy Space Center - SpaceX In-Flight Abort Test_4z4-OLSfdSc - transcript (automated).pdf","Transcript Link")</f>
        <v>Transcript Link</v>
      </c>
    </row>
    <row r="311" ht="180" spans="1:13">
      <c r="A311" s="1" t="s">
        <v>1448</v>
      </c>
      <c r="B311" s="1" t="s">
        <v>13</v>
      </c>
      <c r="C311" s="4" t="s">
        <v>1449</v>
      </c>
      <c r="D311" s="1" t="s">
        <v>1450</v>
      </c>
      <c r="E311" s="1" t="s">
        <v>1451</v>
      </c>
      <c r="F311" s="4" t="s">
        <v>17</v>
      </c>
      <c r="G311" s="1" t="s">
        <v>18</v>
      </c>
      <c r="H311" s="1" t="s">
        <v>19</v>
      </c>
      <c r="I311" s="1" t="s">
        <v>20</v>
      </c>
      <c r="J311" s="1" t="s">
        <v>1452</v>
      </c>
      <c r="K311" s="1" t="s">
        <v>22</v>
      </c>
      <c r="L311" s="1" t="str">
        <f>HYPERLINK("https://files.afu.se/Downloads/Transcripts/0%20-%20Government/USA%20-%20NASA%20Kennedy/2020 01 17 - NASA's Kennedy Space Center - Inside KSC! Jan. 17, 2020_BFlLCL56v6E - transcript (automated).pdf","Transcript Link")</f>
        <v>Transcript Link</v>
      </c>
      <c r="M311" s="2" t="str">
        <f>HYPERLINK("https://files.afu.se/Downloads/Transcripts/0%20-%20Government/USA%20-%20NASA%20Kennedy/2020 01 17 - NASA's Kennedy Space Center - Inside KSC! Jan. 17, 2020_BFlLCL56v6E - transcript (automated).pdf","Transcript Link")</f>
        <v>Transcript Link</v>
      </c>
    </row>
    <row r="312" ht="180" spans="1:13">
      <c r="A312" s="1" t="s">
        <v>1453</v>
      </c>
      <c r="B312" s="1" t="s">
        <v>13</v>
      </c>
      <c r="C312" s="4" t="s">
        <v>1454</v>
      </c>
      <c r="D312" s="1" t="s">
        <v>1455</v>
      </c>
      <c r="E312" s="1" t="s">
        <v>1456</v>
      </c>
      <c r="F312" s="4" t="s">
        <v>17</v>
      </c>
      <c r="G312" s="1" t="s">
        <v>18</v>
      </c>
      <c r="H312" s="1" t="s">
        <v>19</v>
      </c>
      <c r="I312" s="1" t="s">
        <v>20</v>
      </c>
      <c r="J312" s="1" t="s">
        <v>1457</v>
      </c>
      <c r="K312" s="1" t="s">
        <v>22</v>
      </c>
      <c r="L312" s="1" t="str">
        <f>HYPERLINK("https://files.afu.se/Downloads/Transcripts/0%20-%20Government/USA%20-%20NASA%20Kennedy/2020 01 10 - NASA's Kennedy Space Center - Inside KSC! Jan. 10, 2020_iS4kaPJBmEY - transcript (automated).pdf","Transcript Link")</f>
        <v>Transcript Link</v>
      </c>
      <c r="M312" s="2" t="str">
        <f>HYPERLINK("https://files.afu.se/Downloads/Transcripts/0%20-%20Government/USA%20-%20NASA%20Kennedy/2020 01 10 - NASA's Kennedy Space Center - Inside KSC! Jan. 10, 2020_iS4kaPJBmEY - transcript (automated).pdf","Transcript Link")</f>
        <v>Transcript Link</v>
      </c>
    </row>
    <row r="313" ht="180" spans="1:13">
      <c r="A313" s="1" t="s">
        <v>1458</v>
      </c>
      <c r="B313" s="1" t="s">
        <v>13</v>
      </c>
      <c r="C313" s="4" t="s">
        <v>1459</v>
      </c>
      <c r="D313" s="1" t="s">
        <v>1460</v>
      </c>
      <c r="E313" s="1" t="s">
        <v>1461</v>
      </c>
      <c r="F313" s="4" t="s">
        <v>17</v>
      </c>
      <c r="G313" s="1" t="s">
        <v>18</v>
      </c>
      <c r="H313" s="1" t="s">
        <v>19</v>
      </c>
      <c r="I313" s="1" t="s">
        <v>20</v>
      </c>
      <c r="J313" s="1" t="s">
        <v>1462</v>
      </c>
      <c r="K313" s="1" t="s">
        <v>22</v>
      </c>
      <c r="L313" s="1" t="str">
        <f>HYPERLINK("https://files.afu.se/Downloads/Transcripts/0%20-%20Government/USA%20-%20NASA%20Kennedy/2020 01 01 - NASA's Kennedy Space Center - Launch Services Program 2020 Missions_Qx9qSo4M6_Q - transcript (automated).pdf","Transcript Link")</f>
        <v>Transcript Link</v>
      </c>
      <c r="M313" s="2" t="str">
        <f>HYPERLINK("https://files.afu.se/Downloads/Transcripts/0%20-%20Government/USA%20-%20NASA%20Kennedy/2020 01 01 - NASA's Kennedy Space Center - Launch Services Program 2020 Missions_Qx9qSo4M6_Q - transcript (automated).pdf","Transcript Link")</f>
        <v>Transcript Link</v>
      </c>
    </row>
    <row r="314" ht="180" spans="1:13">
      <c r="A314" s="1" t="s">
        <v>1463</v>
      </c>
      <c r="B314" s="1" t="s">
        <v>13</v>
      </c>
      <c r="C314" s="4" t="s">
        <v>1464</v>
      </c>
      <c r="D314" s="1" t="s">
        <v>1465</v>
      </c>
      <c r="E314" s="1" t="s">
        <v>1466</v>
      </c>
      <c r="F314" s="4" t="s">
        <v>17</v>
      </c>
      <c r="G314" s="1" t="s">
        <v>18</v>
      </c>
      <c r="H314" s="1" t="s">
        <v>19</v>
      </c>
      <c r="I314" s="1" t="s">
        <v>20</v>
      </c>
      <c r="J314" s="1" t="s">
        <v>1467</v>
      </c>
      <c r="K314" s="1" t="s">
        <v>22</v>
      </c>
      <c r="L314" s="1" t="str">
        <f>HYPERLINK("https://files.afu.se/Downloads/Transcripts/0%20-%20Government/USA%20-%20NASA%20Kennedy/2019 12 20 - NASA's Kennedy Space Center - Liftoff of Boeing Orbital Flight Test_VzYoCQZhTkA - transcript (automated).pdf","Transcript Link")</f>
        <v>Transcript Link</v>
      </c>
      <c r="M314" s="2" t="str">
        <f>HYPERLINK("https://files.afu.se/Downloads/Transcripts/0%20-%20Government/USA%20-%20NASA%20Kennedy/2019 12 20 - NASA's Kennedy Space Center - Liftoff of Boeing Orbital Flight Test_VzYoCQZhTkA - transcript (automated).pdf","Transcript Link")</f>
        <v>Transcript Link</v>
      </c>
    </row>
    <row r="315" ht="180" spans="1:13">
      <c r="A315" s="1" t="s">
        <v>1463</v>
      </c>
      <c r="B315" s="1" t="s">
        <v>13</v>
      </c>
      <c r="C315" s="4" t="s">
        <v>1468</v>
      </c>
      <c r="D315" s="1" t="s">
        <v>1469</v>
      </c>
      <c r="E315" s="1" t="s">
        <v>1470</v>
      </c>
      <c r="F315" s="4" t="s">
        <v>17</v>
      </c>
      <c r="G315" s="1" t="s">
        <v>18</v>
      </c>
      <c r="H315" s="1" t="s">
        <v>19</v>
      </c>
      <c r="I315" s="1" t="s">
        <v>20</v>
      </c>
      <c r="J315" s="1" t="s">
        <v>1471</v>
      </c>
      <c r="K315" s="1" t="s">
        <v>22</v>
      </c>
      <c r="L315" s="1" t="str">
        <f>HYPERLINK("https://files.afu.se/Downloads/Transcripts/0%20-%20Government/USA%20-%20NASA%20Kennedy/2019 12 20 - NASA's Kennedy Space Center - Launch Conductors Poll for Boeing OFT Launch_m9nE9vb10PE - transcript (automated).pdf","Transcript Link")</f>
        <v>Transcript Link</v>
      </c>
      <c r="M315" s="2" t="str">
        <f>HYPERLINK("https://files.afu.se/Downloads/Transcripts/0%20-%20Government/USA%20-%20NASA%20Kennedy/2019 12 20 - NASA's Kennedy Space Center - Launch Conductors Poll for Boeing OFT Launch_m9nE9vb10PE - transcript (automated).pdf","Transcript Link")</f>
        <v>Transcript Link</v>
      </c>
    </row>
    <row r="316" ht="180" spans="1:13">
      <c r="A316" s="1" t="s">
        <v>1463</v>
      </c>
      <c r="B316" s="1" t="s">
        <v>13</v>
      </c>
      <c r="C316" s="4" t="s">
        <v>1472</v>
      </c>
      <c r="D316" s="1" t="s">
        <v>1473</v>
      </c>
      <c r="E316" s="1" t="s">
        <v>1474</v>
      </c>
      <c r="F316" s="4" t="s">
        <v>17</v>
      </c>
      <c r="G316" s="1" t="s">
        <v>18</v>
      </c>
      <c r="H316" s="1" t="s">
        <v>19</v>
      </c>
      <c r="I316" s="1" t="s">
        <v>20</v>
      </c>
      <c r="J316" s="1" t="s">
        <v>1475</v>
      </c>
      <c r="K316" s="1" t="s">
        <v>22</v>
      </c>
      <c r="L316" s="1" t="str">
        <f>HYPERLINK("https://files.afu.se/Downloads/Transcripts/0%20-%20Government/USA%20-%20NASA%20Kennedy/2019 12 20 - NASA's Kennedy Space Center - Boeing Orbital Flight Test Prelaunch Broadcast Begins_BSxr5UQDJhQ - transcript (automated).pdf","Transcript Link")</f>
        <v>Transcript Link</v>
      </c>
      <c r="M316" s="2" t="str">
        <f>HYPERLINK("https://files.afu.se/Downloads/Transcripts/0%20-%20Government/USA%20-%20NASA%20Kennedy/2019 12 20 - NASA's Kennedy Space Center - Boeing Orbital Flight Test Prelaunch Broadcast Begins_BSxr5UQDJhQ - transcript (automated).pdf","Transcript Link")</f>
        <v>Transcript Link</v>
      </c>
    </row>
    <row r="317" ht="180" spans="1:13">
      <c r="A317" s="1" t="s">
        <v>1476</v>
      </c>
      <c r="B317" s="1" t="s">
        <v>13</v>
      </c>
      <c r="C317" s="4" t="s">
        <v>1477</v>
      </c>
      <c r="D317" s="1" t="s">
        <v>1478</v>
      </c>
      <c r="E317" s="1" t="s">
        <v>1479</v>
      </c>
      <c r="F317" s="4" t="s">
        <v>17</v>
      </c>
      <c r="G317" s="1" t="s">
        <v>18</v>
      </c>
      <c r="H317" s="1" t="s">
        <v>19</v>
      </c>
      <c r="I317" s="1" t="s">
        <v>20</v>
      </c>
      <c r="J317" s="1" t="s">
        <v>1480</v>
      </c>
      <c r="K317" s="1" t="s">
        <v>22</v>
      </c>
      <c r="L317" s="1" t="str">
        <f>HYPERLINK("https://files.afu.se/Downloads/Transcripts/0%20-%20Government/USA%20-%20NASA%20Kennedy/2019 12 19 - NASA's Kennedy Space Center - Inside KSC! Dec. 19, 2019_mZePGKuo55w - transcript (automated).pdf","Transcript Link")</f>
        <v>Transcript Link</v>
      </c>
      <c r="M317" s="2" t="str">
        <f>HYPERLINK("https://files.afu.se/Downloads/Transcripts/0%20-%20Government/USA%20-%20NASA%20Kennedy/2019 12 19 - NASA's Kennedy Space Center - Inside KSC! Dec. 19, 2019_mZePGKuo55w - transcript (automated).pdf","Transcript Link")</f>
        <v>Transcript Link</v>
      </c>
    </row>
    <row r="318" ht="180" spans="1:13">
      <c r="A318" s="1" t="s">
        <v>1481</v>
      </c>
      <c r="B318" s="1" t="s">
        <v>13</v>
      </c>
      <c r="C318" s="4" t="s">
        <v>1482</v>
      </c>
      <c r="D318" s="1" t="s">
        <v>1483</v>
      </c>
      <c r="E318" s="1" t="s">
        <v>1484</v>
      </c>
      <c r="F318" s="4" t="s">
        <v>17</v>
      </c>
      <c r="G318" s="1" t="s">
        <v>18</v>
      </c>
      <c r="H318" s="1" t="s">
        <v>19</v>
      </c>
      <c r="I318" s="1" t="s">
        <v>20</v>
      </c>
      <c r="J318" s="1" t="s">
        <v>1485</v>
      </c>
      <c r="K318" s="1" t="s">
        <v>22</v>
      </c>
      <c r="L318" s="1" t="str">
        <f>HYPERLINK("https://files.afu.se/Downloads/Transcripts/0%20-%20Government/USA%20-%20NASA%20Kennedy/2019 12 16 - NASA's Kennedy Space Center - Rocket Ranch Episode 18  To Launch a Starliner_IY0qZwvJmjg - transcript (automated).pdf","Transcript Link")</f>
        <v>Transcript Link</v>
      </c>
      <c r="M318" s="2" t="str">
        <f>HYPERLINK("https://files.afu.se/Downloads/Transcripts/0%20-%20Government/USA%20-%20NASA%20Kennedy/2019 12 16 - NASA's Kennedy Space Center - Rocket Ranch Episode 18  To Launch a Starliner_IY0qZwvJmjg - transcript (automated).pdf","Transcript Link")</f>
        <v>Transcript Link</v>
      </c>
    </row>
    <row r="319" ht="180" spans="1:13">
      <c r="A319" s="1" t="s">
        <v>1486</v>
      </c>
      <c r="B319" s="1" t="s">
        <v>13</v>
      </c>
      <c r="C319" s="4" t="s">
        <v>1487</v>
      </c>
      <c r="D319" s="1" t="s">
        <v>1488</v>
      </c>
      <c r="E319" s="1" t="s">
        <v>1489</v>
      </c>
      <c r="F319" s="4" t="s">
        <v>17</v>
      </c>
      <c r="G319" s="1" t="s">
        <v>18</v>
      </c>
      <c r="H319" s="1" t="s">
        <v>19</v>
      </c>
      <c r="I319" s="1" t="s">
        <v>20</v>
      </c>
      <c r="J319" s="1" t="s">
        <v>1490</v>
      </c>
      <c r="K319" s="1" t="s">
        <v>22</v>
      </c>
      <c r="L319" s="1" t="str">
        <f>HYPERLINK("https://files.afu.se/Downloads/Transcripts/0%20-%20Government/USA%20-%20NASA%20Kennedy/2019 12 13 - NASA's Kennedy Space Center - Inside KSC! Dec. 13, 2019_JZShkNXpAZk - transcript (automated).pdf","Transcript Link")</f>
        <v>Transcript Link</v>
      </c>
      <c r="M319" s="2" t="str">
        <f>HYPERLINK("https://files.afu.se/Downloads/Transcripts/0%20-%20Government/USA%20-%20NASA%20Kennedy/2019 12 13 - NASA's Kennedy Space Center - Inside KSC! Dec. 13, 2019_JZShkNXpAZk - transcript (automated).pdf","Transcript Link")</f>
        <v>Transcript Link</v>
      </c>
    </row>
    <row r="320" ht="180" spans="1:13">
      <c r="A320" s="1" t="s">
        <v>1491</v>
      </c>
      <c r="B320" s="1" t="s">
        <v>13</v>
      </c>
      <c r="C320" s="4" t="s">
        <v>1492</v>
      </c>
      <c r="D320" s="1" t="s">
        <v>1493</v>
      </c>
      <c r="E320" s="1" t="s">
        <v>1494</v>
      </c>
      <c r="F320" s="4" t="s">
        <v>17</v>
      </c>
      <c r="G320" s="1" t="s">
        <v>18</v>
      </c>
      <c r="H320" s="1" t="s">
        <v>19</v>
      </c>
      <c r="I320" s="1" t="s">
        <v>20</v>
      </c>
      <c r="J320" s="1" t="s">
        <v>1495</v>
      </c>
      <c r="K320" s="1" t="s">
        <v>22</v>
      </c>
      <c r="L320" s="1" t="str">
        <f>HYPERLINK("https://files.afu.se/Downloads/Transcripts/0%20-%20Government/USA%20-%20NASA%20Kennedy/2019 12 06 - NASA's Kennedy Space Center - Inside KSC! Dec. 6, 2019_azrBxrlXIVA - transcript (automated).pdf","Transcript Link")</f>
        <v>Transcript Link</v>
      </c>
      <c r="M320" s="2" t="str">
        <f>HYPERLINK("https://files.afu.se/Downloads/Transcripts/0%20-%20Government/USA%20-%20NASA%20Kennedy/2019 12 06 - NASA's Kennedy Space Center - Inside KSC! Dec. 6, 2019_azrBxrlXIVA - transcript (automated).pdf","Transcript Link")</f>
        <v>Transcript Link</v>
      </c>
    </row>
    <row r="321" ht="180" spans="1:13">
      <c r="A321" s="1" t="s">
        <v>1496</v>
      </c>
      <c r="B321" s="1" t="s">
        <v>13</v>
      </c>
      <c r="C321" s="4" t="s">
        <v>1497</v>
      </c>
      <c r="D321" s="1" t="s">
        <v>1498</v>
      </c>
      <c r="E321" s="1" t="s">
        <v>1499</v>
      </c>
      <c r="F321" s="4" t="s">
        <v>17</v>
      </c>
      <c r="G321" s="1" t="s">
        <v>18</v>
      </c>
      <c r="H321" s="1" t="s">
        <v>19</v>
      </c>
      <c r="I321" s="1" t="s">
        <v>20</v>
      </c>
      <c r="J321" s="1" t="s">
        <v>1500</v>
      </c>
      <c r="K321" s="1" t="s">
        <v>22</v>
      </c>
      <c r="L321" s="1" t="str">
        <f>HYPERLINK("https://files.afu.se/Downloads/Transcripts/0%20-%20Government/USA%20-%20NASA%20Kennedy/2019 12 05 - NASA's Kennedy Space Center - SpaceX CRS-19 Opening Broadcast  Dec. 5, 2019_e8YFpGvDKiY - transcript (automated).pdf","Transcript Link")</f>
        <v>Transcript Link</v>
      </c>
      <c r="M321" s="2" t="str">
        <f>HYPERLINK("https://files.afu.se/Downloads/Transcripts/0%20-%20Government/USA%20-%20NASA%20Kennedy/2019 12 05 - NASA's Kennedy Space Center - SpaceX CRS-19 Opening Broadcast  Dec. 5, 2019_e8YFpGvDKiY - transcript (automated).pdf","Transcript Link")</f>
        <v>Transcript Link</v>
      </c>
    </row>
    <row r="322" ht="180" spans="1:13">
      <c r="A322" s="1" t="s">
        <v>1496</v>
      </c>
      <c r="B322" s="1" t="s">
        <v>13</v>
      </c>
      <c r="C322" s="4" t="s">
        <v>1501</v>
      </c>
      <c r="D322" s="1" t="s">
        <v>1502</v>
      </c>
      <c r="E322" s="1" t="s">
        <v>1503</v>
      </c>
      <c r="F322" s="4" t="s">
        <v>17</v>
      </c>
      <c r="G322" s="1" t="s">
        <v>18</v>
      </c>
      <c r="H322" s="1" t="s">
        <v>19</v>
      </c>
      <c r="I322" s="1" t="s">
        <v>20</v>
      </c>
      <c r="J322" s="1" t="s">
        <v>1504</v>
      </c>
      <c r="K322" s="1" t="s">
        <v>22</v>
      </c>
      <c r="L322" s="1" t="str">
        <f>HYPERLINK("https://files.afu.se/Downloads/Transcripts/0%20-%20Government/USA%20-%20NASA%20Kennedy/2019 12 05 - NASA's Kennedy Space Center - CRS-19 Spacecraft Separation is Successful_gAkih4DvcV8 - transcript (automated).pdf","Transcript Link")</f>
        <v>Transcript Link</v>
      </c>
      <c r="M322" s="2" t="str">
        <f>HYPERLINK("https://files.afu.se/Downloads/Transcripts/0%20-%20Government/USA%20-%20NASA%20Kennedy/2019 12 05 - NASA's Kennedy Space Center - CRS-19 Spacecraft Separation is Successful_gAkih4DvcV8 - transcript (automated).pdf","Transcript Link")</f>
        <v>Transcript Link</v>
      </c>
    </row>
    <row r="323" ht="180" spans="1:13">
      <c r="A323" s="1" t="s">
        <v>1496</v>
      </c>
      <c r="B323" s="1" t="s">
        <v>13</v>
      </c>
      <c r="C323" s="4" t="s">
        <v>1505</v>
      </c>
      <c r="D323" s="1" t="s">
        <v>1506</v>
      </c>
      <c r="E323" s="1" t="s">
        <v>1507</v>
      </c>
      <c r="F323" s="4" t="s">
        <v>17</v>
      </c>
      <c r="G323" s="1" t="s">
        <v>18</v>
      </c>
      <c r="H323" s="1" t="s">
        <v>19</v>
      </c>
      <c r="I323" s="1" t="s">
        <v>20</v>
      </c>
      <c r="J323" s="1" t="s">
        <v>1508</v>
      </c>
      <c r="K323" s="1" t="s">
        <v>22</v>
      </c>
      <c r="L323" s="1" t="str">
        <f>HYPERLINK("https://files.afu.se/Downloads/Transcripts/0%20-%20Government/USA%20-%20NASA%20Kennedy/2019 12 05 - NASA's Kennedy Space Center - SpaceX CRS-19  Solar Arrays are Deployed_m3qlOgjQ8IQ - transcript (automated).pdf","Transcript Link")</f>
        <v>Transcript Link</v>
      </c>
      <c r="M323" s="2" t="str">
        <f>HYPERLINK("https://files.afu.se/Downloads/Transcripts/0%20-%20Government/USA%20-%20NASA%20Kennedy/2019 12 05 - NASA's Kennedy Space Center - SpaceX CRS-19  Solar Arrays are Deployed_m3qlOgjQ8IQ - transcript (automated).pdf","Transcript Link")</f>
        <v>Transcript Link</v>
      </c>
    </row>
    <row r="324" ht="180" spans="1:13">
      <c r="A324" s="1" t="s">
        <v>1496</v>
      </c>
      <c r="B324" s="1" t="s">
        <v>13</v>
      </c>
      <c r="C324" s="4" t="s">
        <v>1509</v>
      </c>
      <c r="D324" s="1" t="s">
        <v>1510</v>
      </c>
      <c r="E324" s="1" t="s">
        <v>1511</v>
      </c>
      <c r="F324" s="4" t="s">
        <v>17</v>
      </c>
      <c r="G324" s="1" t="s">
        <v>18</v>
      </c>
      <c r="H324" s="1" t="s">
        <v>19</v>
      </c>
      <c r="I324" s="1" t="s">
        <v>20</v>
      </c>
      <c r="J324" s="1" t="s">
        <v>1512</v>
      </c>
      <c r="K324" s="1" t="s">
        <v>22</v>
      </c>
      <c r="L324" s="1" t="str">
        <f>HYPERLINK("https://files.afu.se/Downloads/Transcripts/0%20-%20Government/USA%20-%20NASA%20Kennedy/2019 12 05 - NASA's Kennedy Space Center - SpaceX CRS-19 Liftoff!_Qq2dRRZdbNk - transcript (automated).pdf","Transcript Link")</f>
        <v>Transcript Link</v>
      </c>
      <c r="M324" s="2" t="str">
        <f>HYPERLINK("https://files.afu.se/Downloads/Transcripts/0%20-%20Government/USA%20-%20NASA%20Kennedy/2019 12 05 - NASA's Kennedy Space Center - SpaceX CRS-19 Liftoff!_Qq2dRRZdbNk - transcript (automated).pdf","Transcript Link")</f>
        <v>Transcript Link</v>
      </c>
    </row>
    <row r="325" ht="195" spans="1:13">
      <c r="A325" s="1" t="s">
        <v>1513</v>
      </c>
      <c r="B325" s="1" t="s">
        <v>13</v>
      </c>
      <c r="C325" s="4" t="s">
        <v>1514</v>
      </c>
      <c r="D325" s="1" t="s">
        <v>1515</v>
      </c>
      <c r="E325" s="1" t="s">
        <v>1516</v>
      </c>
      <c r="F325" s="4" t="s">
        <v>17</v>
      </c>
      <c r="G325" s="1" t="s">
        <v>18</v>
      </c>
      <c r="H325" s="1" t="s">
        <v>19</v>
      </c>
      <c r="I325" s="1" t="s">
        <v>20</v>
      </c>
      <c r="J325" s="1" t="s">
        <v>1517</v>
      </c>
      <c r="K325" s="1" t="s">
        <v>22</v>
      </c>
      <c r="L325" s="1" t="str">
        <f>HYPERLINK("https://files.afu.se/Downloads/Transcripts/0%20-%20Government/USA%20-%20NASA%20Kennedy/2019 12 03 - NASA's Kennedy Space Center - How do you weigh things in space _7uaSOg4686g - transcript (automated).pdf","Transcript Link")</f>
        <v>Transcript Link</v>
      </c>
      <c r="M325" s="2" t="str">
        <f>HYPERLINK("https://files.afu.se/Downloads/Transcripts/0%20-%20Government/USA%20-%20NASA%20Kennedy/2019 12 03 - NASA's Kennedy Space Center - How do you weigh things in space _7uaSOg4686g - transcript (automated).pdf","Transcript Link")</f>
        <v>Transcript Link</v>
      </c>
    </row>
    <row r="326" ht="180" spans="1:13">
      <c r="A326" s="1" t="s">
        <v>1518</v>
      </c>
      <c r="B326" s="1" t="s">
        <v>13</v>
      </c>
      <c r="C326" s="4" t="s">
        <v>1519</v>
      </c>
      <c r="D326" s="1" t="s">
        <v>1520</v>
      </c>
      <c r="E326" s="1" t="s">
        <v>1521</v>
      </c>
      <c r="F326" s="4" t="s">
        <v>17</v>
      </c>
      <c r="G326" s="1" t="s">
        <v>18</v>
      </c>
      <c r="H326" s="1" t="s">
        <v>19</v>
      </c>
      <c r="I326" s="1" t="s">
        <v>20</v>
      </c>
      <c r="J326" s="1" t="s">
        <v>1522</v>
      </c>
      <c r="K326" s="1" t="s">
        <v>22</v>
      </c>
      <c r="L326" s="1" t="str">
        <f>HYPERLINK("https://files.afu.se/Downloads/Transcripts/0%20-%20Government/USA%20-%20NASA%20Kennedy/2019 11 27 - NASA's Kennedy Space Center - Inside KSC for Nov. 27, 2019_uMNSZn682CI - transcript (automated).pdf","Transcript Link")</f>
        <v>Transcript Link</v>
      </c>
      <c r="M326" s="2" t="str">
        <f>HYPERLINK("https://files.afu.se/Downloads/Transcripts/0%20-%20Government/USA%20-%20NASA%20Kennedy/2019 11 27 - NASA's Kennedy Space Center - Inside KSC for Nov. 27, 2019_uMNSZn682CI - transcript (automated).pdf","Transcript Link")</f>
        <v>Transcript Link</v>
      </c>
    </row>
    <row r="327" ht="390" spans="1:13">
      <c r="A327" s="1" t="s">
        <v>1518</v>
      </c>
      <c r="B327" s="1" t="s">
        <v>13</v>
      </c>
      <c r="C327" s="4" t="s">
        <v>1523</v>
      </c>
      <c r="D327" s="1" t="s">
        <v>1524</v>
      </c>
      <c r="E327" s="1" t="s">
        <v>1525</v>
      </c>
      <c r="F327" s="4" t="s">
        <v>17</v>
      </c>
      <c r="G327" s="1" t="s">
        <v>18</v>
      </c>
      <c r="H327" s="1" t="s">
        <v>19</v>
      </c>
      <c r="I327" s="1" t="s">
        <v>20</v>
      </c>
      <c r="J327" s="1" t="s">
        <v>1526</v>
      </c>
      <c r="K327" s="1" t="s">
        <v>22</v>
      </c>
      <c r="L327" s="1" t="str">
        <f>HYPERLINK("https://files.afu.se/Downloads/Transcripts/0%20-%20Government/USA%20-%20NASA%20Kennedy/2019 11 27 - NASA's Kennedy Space Center - An out of this world harvest in a small garden in space_RYAIWK8EMpQ - transcript (automated).pdf","Transcript Link")</f>
        <v>Transcript Link</v>
      </c>
      <c r="M327" s="2" t="str">
        <f>HYPERLINK("https://files.afu.se/Downloads/Transcripts/0%20-%20Government/USA%20-%20NASA%20Kennedy/2019 11 27 - NASA's Kennedy Space Center - An out of this world harvest in a small garden in space_RYAIWK8EMpQ - transcript (automated).pdf","Transcript Link")</f>
        <v>Transcript Link</v>
      </c>
    </row>
    <row r="328" ht="180" spans="1:13">
      <c r="A328" s="1" t="s">
        <v>1527</v>
      </c>
      <c r="B328" s="1" t="s">
        <v>13</v>
      </c>
      <c r="C328" s="4" t="s">
        <v>1528</v>
      </c>
      <c r="D328" s="1" t="s">
        <v>1529</v>
      </c>
      <c r="E328" s="1" t="s">
        <v>1530</v>
      </c>
      <c r="F328" s="4" t="s">
        <v>17</v>
      </c>
      <c r="G328" s="1" t="s">
        <v>18</v>
      </c>
      <c r="H328" s="1" t="s">
        <v>19</v>
      </c>
      <c r="I328" s="1" t="s">
        <v>20</v>
      </c>
      <c r="J328" s="1" t="s">
        <v>1531</v>
      </c>
      <c r="K328" s="1" t="s">
        <v>22</v>
      </c>
      <c r="L328" s="1" t="str">
        <f>HYPERLINK("https://files.afu.se/Downloads/Transcripts/0%20-%20Government/USA%20-%20NASA%20Kennedy/2019 11 22 - NASA's Kennedy Space Center - Inside KSC! Nov. 22, 2019_jCHH1av1clI - transcript (automated).pdf","Transcript Link")</f>
        <v>Transcript Link</v>
      </c>
      <c r="M328" s="2" t="str">
        <f>HYPERLINK("https://files.afu.se/Downloads/Transcripts/0%20-%20Government/USA%20-%20NASA%20Kennedy/2019 11 22 - NASA's Kennedy Space Center - Inside KSC! Nov. 22, 2019_jCHH1av1clI - transcript (automated).pdf","Transcript Link")</f>
        <v>Transcript Link</v>
      </c>
    </row>
    <row r="329" ht="180" spans="1:13">
      <c r="A329" s="1" t="s">
        <v>1527</v>
      </c>
      <c r="B329" s="1" t="s">
        <v>13</v>
      </c>
      <c r="C329" s="4" t="s">
        <v>1532</v>
      </c>
      <c r="D329" s="1" t="s">
        <v>1533</v>
      </c>
      <c r="E329" s="1" t="s">
        <v>1534</v>
      </c>
      <c r="F329" s="4" t="s">
        <v>17</v>
      </c>
      <c r="G329" s="1" t="s">
        <v>18</v>
      </c>
      <c r="H329" s="1" t="s">
        <v>19</v>
      </c>
      <c r="I329" s="1" t="s">
        <v>20</v>
      </c>
      <c r="J329" s="1" t="s">
        <v>1535</v>
      </c>
      <c r="K329" s="1" t="s">
        <v>22</v>
      </c>
      <c r="L329" s="1" t="str">
        <f>HYPERLINK("https://files.afu.se/Downloads/Transcripts/0%20-%20Government/USA%20-%20NASA%20Kennedy/2019 11 22 - NASA's Kennedy Space Center - NASA’s MSolo  A tool for measuring lunar resources_59_vhOYoWWs - transcript (automated).pdf","Transcript Link")</f>
        <v>Transcript Link</v>
      </c>
      <c r="M329" s="2" t="str">
        <f>HYPERLINK("https://files.afu.se/Downloads/Transcripts/0%20-%20Government/USA%20-%20NASA%20Kennedy/2019 11 22 - NASA's Kennedy Space Center - NASA’s MSolo  A tool for measuring lunar resources_59_vhOYoWWs - transcript (automated).pdf","Transcript Link")</f>
        <v>Transcript Link</v>
      </c>
    </row>
    <row r="330" ht="180" spans="1:13">
      <c r="A330" s="1" t="s">
        <v>1536</v>
      </c>
      <c r="B330" s="1" t="s">
        <v>13</v>
      </c>
      <c r="C330" s="4" t="s">
        <v>1537</v>
      </c>
      <c r="D330" s="1" t="s">
        <v>1538</v>
      </c>
      <c r="E330" s="1" t="s">
        <v>1539</v>
      </c>
      <c r="F330" s="4" t="s">
        <v>17</v>
      </c>
      <c r="G330" s="1" t="s">
        <v>18</v>
      </c>
      <c r="H330" s="1" t="s">
        <v>19</v>
      </c>
      <c r="I330" s="1" t="s">
        <v>20</v>
      </c>
      <c r="J330" s="1" t="s">
        <v>1540</v>
      </c>
      <c r="K330" s="1" t="s">
        <v>22</v>
      </c>
      <c r="L330" s="1" t="str">
        <f>HYPERLINK("https://files.afu.se/Downloads/Transcripts/0%20-%20Government/USA%20-%20NASA%20Kennedy/2019 11 15 - NASA's Kennedy Space Center - Inside KSC! Nov. 15, 2019_MPRfZJ_wKvg - transcript (automated).pdf","Transcript Link")</f>
        <v>Transcript Link</v>
      </c>
      <c r="M330" s="2" t="str">
        <f>HYPERLINK("https://files.afu.se/Downloads/Transcripts/0%20-%20Government/USA%20-%20NASA%20Kennedy/2019 11 15 - NASA's Kennedy Space Center - Inside KSC! Nov. 15, 2019_MPRfZJ_wKvg - transcript (automated).pdf","Transcript Link")</f>
        <v>Transcript Link</v>
      </c>
    </row>
    <row r="331" ht="195" spans="1:13">
      <c r="A331" s="1" t="s">
        <v>1541</v>
      </c>
      <c r="B331" s="1" t="s">
        <v>13</v>
      </c>
      <c r="C331" s="4" t="s">
        <v>1542</v>
      </c>
      <c r="D331" s="1" t="s">
        <v>1543</v>
      </c>
      <c r="E331" s="1" t="s">
        <v>1544</v>
      </c>
      <c r="F331" s="4" t="s">
        <v>17</v>
      </c>
      <c r="G331" s="1" t="s">
        <v>18</v>
      </c>
      <c r="H331" s="1" t="s">
        <v>19</v>
      </c>
      <c r="I331" s="1" t="s">
        <v>20</v>
      </c>
      <c r="J331" s="1" t="s">
        <v>1545</v>
      </c>
      <c r="K331" s="1" t="s">
        <v>22</v>
      </c>
      <c r="L331" s="1" t="str">
        <f>HYPERLINK("https://files.afu.se/Downloads/Transcripts/0%20-%20Government/USA%20-%20NASA%20Kennedy/2019 11 13 - NASA's Kennedy Space Center - Inside KSC! Nov. 8, 2019_3GExgpFjBHQ - transcript (automated).pdf","Transcript Link")</f>
        <v>Transcript Link</v>
      </c>
      <c r="M331" s="2" t="str">
        <f>HYPERLINK("https://files.afu.se/Downloads/Transcripts/0%20-%20Government/USA%20-%20NASA%20Kennedy/2019 11 13 - NASA's Kennedy Space Center - Inside KSC! Nov. 8, 2019_3GExgpFjBHQ - transcript (automated).pdf","Transcript Link")</f>
        <v>Transcript Link</v>
      </c>
    </row>
    <row r="332" ht="180" spans="1:13">
      <c r="A332" s="1" t="s">
        <v>1546</v>
      </c>
      <c r="B332" s="1" t="s">
        <v>13</v>
      </c>
      <c r="C332" s="4" t="s">
        <v>1547</v>
      </c>
      <c r="D332" s="1" t="s">
        <v>1548</v>
      </c>
      <c r="E332" s="1" t="s">
        <v>1549</v>
      </c>
      <c r="F332" s="4" t="s">
        <v>17</v>
      </c>
      <c r="G332" s="1" t="s">
        <v>18</v>
      </c>
      <c r="H332" s="1" t="s">
        <v>19</v>
      </c>
      <c r="I332" s="1" t="s">
        <v>20</v>
      </c>
      <c r="J332" s="1" t="s">
        <v>1550</v>
      </c>
      <c r="K332" s="1" t="s">
        <v>22</v>
      </c>
      <c r="L332" s="1" t="str">
        <f>HYPERLINK("https://files.afu.se/Downloads/Transcripts/0%20-%20Government/USA%20-%20NASA%20Kennedy/2019 11 01 - NASA's Kennedy Space Center - Inside KSC! Nov. 1, 2019_BnmKCaK3jm8 - transcript (automated).pdf","Transcript Link")</f>
        <v>Transcript Link</v>
      </c>
      <c r="M332" s="2" t="str">
        <f>HYPERLINK("https://files.afu.se/Downloads/Transcripts/0%20-%20Government/USA%20-%20NASA%20Kennedy/2019 11 01 - NASA's Kennedy Space Center - Inside KSC! Nov. 1, 2019_BnmKCaK3jm8 - transcript (automated).pdf","Transcript Link")</f>
        <v>Transcript Link</v>
      </c>
    </row>
    <row r="333" ht="180" spans="1:13">
      <c r="A333" s="1" t="s">
        <v>1546</v>
      </c>
      <c r="B333" s="1" t="s">
        <v>13</v>
      </c>
      <c r="C333" s="4" t="s">
        <v>1551</v>
      </c>
      <c r="D333" s="1" t="s">
        <v>1552</v>
      </c>
      <c r="E333" s="1" t="s">
        <v>1553</v>
      </c>
      <c r="F333" s="4" t="s">
        <v>17</v>
      </c>
      <c r="G333" s="1" t="s">
        <v>18</v>
      </c>
      <c r="H333" s="1" t="s">
        <v>19</v>
      </c>
      <c r="I333" s="1" t="s">
        <v>20</v>
      </c>
      <c r="J333" s="1" t="s">
        <v>1554</v>
      </c>
      <c r="K333" s="1" t="s">
        <v>22</v>
      </c>
      <c r="L333" s="1" t="str">
        <f>HYPERLINK("https://files.afu.se/Downloads/Transcripts/0%20-%20Government/USA%20-%20NASA%20Kennedy/2019 11 01 - NASA's Kennedy Space Center - Rocket Ranch Episode 17  Abort!_VcCilovgOBo - transcript (automated).pdf","Transcript Link")</f>
        <v>Transcript Link</v>
      </c>
      <c r="M333" s="2" t="str">
        <f>HYPERLINK("https://files.afu.se/Downloads/Transcripts/0%20-%20Government/USA%20-%20NASA%20Kennedy/2019 11 01 - NASA's Kennedy Space Center - Rocket Ranch Episode 17  Abort!_VcCilovgOBo - transcript (automated).pdf","Transcript Link")</f>
        <v>Transcript Link</v>
      </c>
    </row>
    <row r="334" ht="180" spans="1:13">
      <c r="A334" s="1" t="s">
        <v>1555</v>
      </c>
      <c r="B334" s="1" t="s">
        <v>13</v>
      </c>
      <c r="C334" s="4" t="s">
        <v>1556</v>
      </c>
      <c r="D334" s="1" t="s">
        <v>1557</v>
      </c>
      <c r="E334" s="1" t="s">
        <v>1558</v>
      </c>
      <c r="F334" s="4" t="s">
        <v>17</v>
      </c>
      <c r="G334" s="1" t="s">
        <v>18</v>
      </c>
      <c r="H334" s="1" t="s">
        <v>19</v>
      </c>
      <c r="I334" s="1" t="s">
        <v>20</v>
      </c>
      <c r="J334" s="1" t="s">
        <v>1559</v>
      </c>
      <c r="K334" s="1" t="s">
        <v>22</v>
      </c>
      <c r="L334" s="1" t="str">
        <f>HYPERLINK("https://files.afu.se/Downloads/Transcripts/0%20-%20Government/USA%20-%20NASA%20Kennedy/2019 10 25 - NASA's Kennedy Space Center - EGS Striving Toward Launch of Artemis I_Pp8QL8Ap8TM - transcript (automated).pdf","Transcript Link")</f>
        <v>Transcript Link</v>
      </c>
      <c r="M334" s="2" t="str">
        <f>HYPERLINK("https://files.afu.se/Downloads/Transcripts/0%20-%20Government/USA%20-%20NASA%20Kennedy/2019 10 25 - NASA's Kennedy Space Center - EGS Striving Toward Launch of Artemis I_Pp8QL8Ap8TM - transcript (automated).pdf","Transcript Link")</f>
        <v>Transcript Link</v>
      </c>
    </row>
    <row r="335" ht="180" spans="1:13">
      <c r="A335" s="1" t="s">
        <v>1555</v>
      </c>
      <c r="B335" s="1" t="s">
        <v>13</v>
      </c>
      <c r="C335" s="4" t="s">
        <v>1560</v>
      </c>
      <c r="D335" s="1" t="s">
        <v>1561</v>
      </c>
      <c r="E335" s="1" t="s">
        <v>1562</v>
      </c>
      <c r="F335" s="4" t="s">
        <v>17</v>
      </c>
      <c r="G335" s="1" t="s">
        <v>18</v>
      </c>
      <c r="H335" s="1" t="s">
        <v>19</v>
      </c>
      <c r="I335" s="1" t="s">
        <v>20</v>
      </c>
      <c r="J335" s="1" t="s">
        <v>1563</v>
      </c>
      <c r="K335" s="1" t="s">
        <v>22</v>
      </c>
      <c r="L335" s="1" t="str">
        <f>HYPERLINK("https://files.afu.se/Downloads/Transcripts/0%20-%20Government/USA%20-%20NASA%20Kennedy/2019 10 25 - NASA's Kennedy Space Center - Inside KSC! Oct. 25, 2019_mPLNg1dj6eU - transcript (automated).pdf","Transcript Link")</f>
        <v>Transcript Link</v>
      </c>
      <c r="M335" s="2" t="str">
        <f>HYPERLINK("https://files.afu.se/Downloads/Transcripts/0%20-%20Government/USA%20-%20NASA%20Kennedy/2019 10 25 - NASA's Kennedy Space Center - Inside KSC! Oct. 25, 2019_mPLNg1dj6eU - transcript (automated).pdf","Transcript Link")</f>
        <v>Transcript Link</v>
      </c>
    </row>
    <row r="336" ht="180" spans="1:13">
      <c r="A336" s="1" t="s">
        <v>1564</v>
      </c>
      <c r="B336" s="1" t="s">
        <v>13</v>
      </c>
      <c r="C336" s="4" t="s">
        <v>1565</v>
      </c>
      <c r="D336" s="1" t="s">
        <v>1566</v>
      </c>
      <c r="E336" s="1" t="s">
        <v>1567</v>
      </c>
      <c r="F336" s="4" t="s">
        <v>17</v>
      </c>
      <c r="G336" s="1" t="s">
        <v>18</v>
      </c>
      <c r="H336" s="1" t="s">
        <v>19</v>
      </c>
      <c r="I336" s="1" t="s">
        <v>20</v>
      </c>
      <c r="J336" s="1" t="s">
        <v>1568</v>
      </c>
      <c r="K336" s="1" t="s">
        <v>22</v>
      </c>
      <c r="L336" s="1" t="str">
        <f>HYPERLINK("https://files.afu.se/Downloads/Transcripts/0%20-%20Government/USA%20-%20NASA%20Kennedy/2019 10 18 - NASA's Kennedy Space Center - 360 View of SLS Core Stage Pathfinder Lift  Camera 2_zS77Mi1wVP4 - transcript (automated).pdf","Transcript Link")</f>
        <v>Transcript Link</v>
      </c>
      <c r="M336" s="2" t="str">
        <f>HYPERLINK("https://files.afu.se/Downloads/Transcripts/0%20-%20Government/USA%20-%20NASA%20Kennedy/2019 10 18 - NASA's Kennedy Space Center - 360 View of SLS Core Stage Pathfinder Lift  Camera 2_zS77Mi1wVP4 - transcript (automated).pdf","Transcript Link")</f>
        <v>Transcript Link</v>
      </c>
    </row>
    <row r="337" ht="180" spans="1:13">
      <c r="A337" s="1" t="s">
        <v>1564</v>
      </c>
      <c r="B337" s="1" t="s">
        <v>13</v>
      </c>
      <c r="C337" s="4" t="s">
        <v>1569</v>
      </c>
      <c r="D337" s="1" t="s">
        <v>1570</v>
      </c>
      <c r="E337" s="1" t="s">
        <v>1571</v>
      </c>
      <c r="F337" s="4" t="s">
        <v>17</v>
      </c>
      <c r="G337" s="1" t="s">
        <v>18</v>
      </c>
      <c r="H337" s="1" t="s">
        <v>19</v>
      </c>
      <c r="I337" s="1" t="s">
        <v>20</v>
      </c>
      <c r="J337" s="1" t="s">
        <v>1572</v>
      </c>
      <c r="K337" s="1" t="s">
        <v>22</v>
      </c>
      <c r="L337" s="1" t="str">
        <f>HYPERLINK("https://files.afu.se/Downloads/Transcripts/0%20-%20Government/USA%20-%20NASA%20Kennedy/2019 10 18 - NASA's Kennedy Space Center - Inside KSC! Oct. 18, 2019_4_WIfQT-JyQ - transcript (automated).pdf","Transcript Link")</f>
        <v>Transcript Link</v>
      </c>
      <c r="M337" s="2" t="str">
        <f>HYPERLINK("https://files.afu.se/Downloads/Transcripts/0%20-%20Government/USA%20-%20NASA%20Kennedy/2019 10 18 - NASA's Kennedy Space Center - Inside KSC! Oct. 18, 2019_4_WIfQT-JyQ - transcript (automated).pdf","Transcript Link")</f>
        <v>Transcript Link</v>
      </c>
    </row>
    <row r="338" ht="180" spans="1:13">
      <c r="A338" s="1" t="s">
        <v>1564</v>
      </c>
      <c r="B338" s="1" t="s">
        <v>13</v>
      </c>
      <c r="C338" s="4" t="s">
        <v>1573</v>
      </c>
      <c r="D338" s="1" t="s">
        <v>1574</v>
      </c>
      <c r="E338" s="1" t="s">
        <v>1567</v>
      </c>
      <c r="F338" s="4" t="s">
        <v>17</v>
      </c>
      <c r="G338" s="1" t="s">
        <v>18</v>
      </c>
      <c r="H338" s="1" t="s">
        <v>19</v>
      </c>
      <c r="I338" s="1" t="s">
        <v>20</v>
      </c>
      <c r="J338" s="1" t="s">
        <v>1575</v>
      </c>
      <c r="K338" s="1" t="s">
        <v>22</v>
      </c>
      <c r="L338" s="1" t="str">
        <f>HYPERLINK("https://files.afu.se/Downloads/Transcripts/0%20-%20Government/USA%20-%20NASA%20Kennedy/2019 10 18 - NASA's Kennedy Space Center - 360 View of SLS Core Stage Pathfinder Lift_lxGlxbSXrR0 - transcript (automated).pdf","Transcript Link")</f>
        <v>Transcript Link</v>
      </c>
      <c r="M338" s="2" t="str">
        <f>HYPERLINK("https://files.afu.se/Downloads/Transcripts/0%20-%20Government/USA%20-%20NASA%20Kennedy/2019 10 18 - NASA's Kennedy Space Center - 360 View of SLS Core Stage Pathfinder Lift_lxGlxbSXrR0 - transcript (automated).pdf","Transcript Link")</f>
        <v>Transcript Link</v>
      </c>
    </row>
    <row r="339" ht="180" spans="1:13">
      <c r="A339" s="1" t="s">
        <v>1576</v>
      </c>
      <c r="B339" s="1" t="s">
        <v>13</v>
      </c>
      <c r="C339" s="4" t="s">
        <v>1577</v>
      </c>
      <c r="D339" s="1" t="s">
        <v>1578</v>
      </c>
      <c r="E339" s="1" t="s">
        <v>1579</v>
      </c>
      <c r="F339" s="4" t="s">
        <v>17</v>
      </c>
      <c r="G339" s="1" t="s">
        <v>18</v>
      </c>
      <c r="H339" s="1" t="s">
        <v>19</v>
      </c>
      <c r="I339" s="1" t="s">
        <v>20</v>
      </c>
      <c r="J339" s="1" t="s">
        <v>1580</v>
      </c>
      <c r="K339" s="1" t="s">
        <v>22</v>
      </c>
      <c r="L339" s="1" t="str">
        <f>HYPERLINK("https://files.afu.se/Downloads/Transcripts/0%20-%20Government/USA%20-%20NASA%20Kennedy/2019 10 16 - NASA's Kennedy Space Center - Rocket Ranch Episode 16  An ICONic Launch__9XrPuPnhfo - transcript (automated).pdf","Transcript Link")</f>
        <v>Transcript Link</v>
      </c>
      <c r="M339" s="2" t="str">
        <f>HYPERLINK("https://files.afu.se/Downloads/Transcripts/0%20-%20Government/USA%20-%20NASA%20Kennedy/2019 10 16 - NASA's Kennedy Space Center - Rocket Ranch Episode 16  An ICONic Launch__9XrPuPnhfo - transcript (automated).pdf","Transcript Link")</f>
        <v>Transcript Link</v>
      </c>
    </row>
    <row r="340" ht="180" spans="1:13">
      <c r="A340" s="1" t="s">
        <v>1581</v>
      </c>
      <c r="B340" s="1" t="s">
        <v>13</v>
      </c>
      <c r="C340" s="4" t="s">
        <v>1582</v>
      </c>
      <c r="D340" s="1" t="s">
        <v>1583</v>
      </c>
      <c r="E340" s="1" t="s">
        <v>1584</v>
      </c>
      <c r="F340" s="4" t="s">
        <v>17</v>
      </c>
      <c r="G340" s="1" t="s">
        <v>18</v>
      </c>
      <c r="H340" s="1" t="s">
        <v>19</v>
      </c>
      <c r="I340" s="1" t="s">
        <v>20</v>
      </c>
      <c r="J340" s="1" t="s">
        <v>1585</v>
      </c>
      <c r="K340" s="1" t="s">
        <v>22</v>
      </c>
      <c r="L340" s="1" t="str">
        <f>HYPERLINK("https://files.afu.se/Downloads/Transcripts/0%20-%20Government/USA%20-%20NASA%20Kennedy/2019 10 15 - NASA's Kennedy Space Center - Multi-arm Swing Test_Odl0TFh0Qy0 - transcript (automated).pdf","Transcript Link")</f>
        <v>Transcript Link</v>
      </c>
      <c r="M340" s="2" t="str">
        <f>HYPERLINK("https://files.afu.se/Downloads/Transcripts/0%20-%20Government/USA%20-%20NASA%20Kennedy/2019 10 15 - NASA's Kennedy Space Center - Multi-arm Swing Test_Odl0TFh0Qy0 - transcript (automated).pdf","Transcript Link")</f>
        <v>Transcript Link</v>
      </c>
    </row>
    <row r="341" ht="180" spans="1:13">
      <c r="A341" s="1" t="s">
        <v>1586</v>
      </c>
      <c r="B341" s="1" t="s">
        <v>13</v>
      </c>
      <c r="C341" s="4" t="s">
        <v>1587</v>
      </c>
      <c r="D341" s="1" t="s">
        <v>1588</v>
      </c>
      <c r="E341" s="1" t="s">
        <v>1589</v>
      </c>
      <c r="F341" s="4" t="s">
        <v>17</v>
      </c>
      <c r="G341" s="1" t="s">
        <v>18</v>
      </c>
      <c r="H341" s="1" t="s">
        <v>19</v>
      </c>
      <c r="I341" s="1" t="s">
        <v>20</v>
      </c>
      <c r="J341" s="1" t="s">
        <v>1590</v>
      </c>
      <c r="K341" s="1" t="s">
        <v>22</v>
      </c>
      <c r="L341" s="1" t="str">
        <f>HYPERLINK("https://files.afu.se/Downloads/Transcripts/0%20-%20Government/USA%20-%20NASA%20Kennedy/2019 10 11 - NASA's Kennedy Space Center - Inside KSC! Oct. 11, 2019_BJvJeeiPpto - transcript (automated).pdf","Transcript Link")</f>
        <v>Transcript Link</v>
      </c>
      <c r="M341" s="2" t="str">
        <f>HYPERLINK("https://files.afu.se/Downloads/Transcripts/0%20-%20Government/USA%20-%20NASA%20Kennedy/2019 10 11 - NASA's Kennedy Space Center - Inside KSC! Oct. 11, 2019_BJvJeeiPpto - transcript (automated).pdf","Transcript Link")</f>
        <v>Transcript Link</v>
      </c>
    </row>
    <row r="342" ht="180" spans="1:13">
      <c r="A342" s="1" t="s">
        <v>1586</v>
      </c>
      <c r="B342" s="1" t="s">
        <v>13</v>
      </c>
      <c r="C342" s="4" t="s">
        <v>1591</v>
      </c>
      <c r="D342" s="1" t="s">
        <v>1592</v>
      </c>
      <c r="E342" s="1" t="s">
        <v>1593</v>
      </c>
      <c r="F342" s="4" t="s">
        <v>17</v>
      </c>
      <c r="G342" s="1" t="s">
        <v>18</v>
      </c>
      <c r="H342" s="1" t="s">
        <v>19</v>
      </c>
      <c r="I342" s="1" t="s">
        <v>20</v>
      </c>
      <c r="J342" s="1" t="s">
        <v>1594</v>
      </c>
      <c r="K342" s="1" t="s">
        <v>22</v>
      </c>
      <c r="L342" s="1" t="str">
        <f>HYPERLINK("https://files.afu.se/Downloads/Transcripts/0%20-%20Government/USA%20-%20NASA%20Kennedy/2019 10 11 - NASA's Kennedy Space Center - Interview with NASA's ICON Launch Manager Omar Baez_daU1z50_SjM - transcript (automated).pdf","Transcript Link")</f>
        <v>Transcript Link</v>
      </c>
      <c r="M342" s="2" t="str">
        <f>HYPERLINK("https://files.afu.se/Downloads/Transcripts/0%20-%20Government/USA%20-%20NASA%20Kennedy/2019 10 11 - NASA's Kennedy Space Center - Interview with NASA's ICON Launch Manager Omar Baez_daU1z50_SjM - transcript (automated).pdf","Transcript Link")</f>
        <v>Transcript Link</v>
      </c>
    </row>
    <row r="343" ht="180" spans="1:13">
      <c r="A343" s="1" t="s">
        <v>1586</v>
      </c>
      <c r="B343" s="1" t="s">
        <v>13</v>
      </c>
      <c r="C343" s="4" t="s">
        <v>1595</v>
      </c>
      <c r="D343" s="1" t="s">
        <v>1596</v>
      </c>
      <c r="E343" s="1" t="s">
        <v>1597</v>
      </c>
      <c r="F343" s="4" t="s">
        <v>17</v>
      </c>
      <c r="G343" s="1" t="s">
        <v>18</v>
      </c>
      <c r="H343" s="1" t="s">
        <v>19</v>
      </c>
      <c r="I343" s="1" t="s">
        <v>20</v>
      </c>
      <c r="J343" s="1" t="s">
        <v>1598</v>
      </c>
      <c r="K343" s="1" t="s">
        <v>22</v>
      </c>
      <c r="L343" s="1" t="str">
        <f>HYPERLINK("https://files.afu.se/Downloads/Transcripts/0%20-%20Government/USA%20-%20NASA%20Kennedy/2019 10 11 - NASA's Kennedy Space Center - Launch of Pegasus XL Carrying ICON_Bj7urES3pEY - transcript (automated).pdf","Transcript Link")</f>
        <v>Transcript Link</v>
      </c>
      <c r="M343" s="2" t="str">
        <f>HYPERLINK("https://files.afu.se/Downloads/Transcripts/0%20-%20Government/USA%20-%20NASA%20Kennedy/2019 10 11 - NASA's Kennedy Space Center - Launch of Pegasus XL Carrying ICON_Bj7urES3pEY - transcript (automated).pdf","Transcript Link")</f>
        <v>Transcript Link</v>
      </c>
    </row>
    <row r="344" ht="180" spans="1:13">
      <c r="A344" s="1" t="s">
        <v>1586</v>
      </c>
      <c r="B344" s="1" t="s">
        <v>13</v>
      </c>
      <c r="C344" s="4" t="s">
        <v>1599</v>
      </c>
      <c r="D344" s="1" t="s">
        <v>1600</v>
      </c>
      <c r="E344" s="1" t="s">
        <v>1601</v>
      </c>
      <c r="F344" s="4" t="s">
        <v>17</v>
      </c>
      <c r="G344" s="1" t="s">
        <v>18</v>
      </c>
      <c r="H344" s="1" t="s">
        <v>19</v>
      </c>
      <c r="I344" s="1" t="s">
        <v>20</v>
      </c>
      <c r="J344" s="1" t="s">
        <v>1602</v>
      </c>
      <c r="K344" s="1" t="s">
        <v>22</v>
      </c>
      <c r="L344" s="1" t="str">
        <f>HYPERLINK("https://files.afu.se/Downloads/Transcripts/0%20-%20Government/USA%20-%20NASA%20Kennedy/2019 10 11 - NASA's Kennedy Space Center - ICON  Polling for Launch_24R_RNAEe9s - transcript (automated).pdf","Transcript Link")</f>
        <v>Transcript Link</v>
      </c>
      <c r="M344" s="2" t="str">
        <f>HYPERLINK("https://files.afu.se/Downloads/Transcripts/0%20-%20Government/USA%20-%20NASA%20Kennedy/2019 10 11 - NASA's Kennedy Space Center - ICON  Polling for Launch_24R_RNAEe9s - transcript (automated).pdf","Transcript Link")</f>
        <v>Transcript Link</v>
      </c>
    </row>
    <row r="345" ht="180" spans="1:13">
      <c r="A345" s="1" t="s">
        <v>1586</v>
      </c>
      <c r="B345" s="1" t="s">
        <v>13</v>
      </c>
      <c r="C345" s="4" t="s">
        <v>1603</v>
      </c>
      <c r="D345" s="1" t="s">
        <v>1604</v>
      </c>
      <c r="E345" s="1" t="s">
        <v>1605</v>
      </c>
      <c r="F345" s="4" t="s">
        <v>17</v>
      </c>
      <c r="G345" s="1" t="s">
        <v>18</v>
      </c>
      <c r="H345" s="1" t="s">
        <v>19</v>
      </c>
      <c r="I345" s="1" t="s">
        <v>20</v>
      </c>
      <c r="J345" s="1" t="s">
        <v>1606</v>
      </c>
      <c r="K345" s="1" t="s">
        <v>22</v>
      </c>
      <c r="L345" s="1" t="str">
        <f>HYPERLINK("https://files.afu.se/Downloads/Transcripts/0%20-%20Government/USA%20-%20NASA%20Kennedy/2019 10 11 - NASA's Kennedy Space Center - ICON  Launch Broadcast Begins_T-iAYCFo_zE - transcript (automated).pdf","Transcript Link")</f>
        <v>Transcript Link</v>
      </c>
      <c r="M345" s="2" t="str">
        <f>HYPERLINK("https://files.afu.se/Downloads/Transcripts/0%20-%20Government/USA%20-%20NASA%20Kennedy/2019 10 11 - NASA's Kennedy Space Center - ICON  Launch Broadcast Begins_T-iAYCFo_zE - transcript (automated).pdf","Transcript Link")</f>
        <v>Transcript Link</v>
      </c>
    </row>
    <row r="346" ht="180" spans="1:13">
      <c r="A346" s="1" t="s">
        <v>1586</v>
      </c>
      <c r="B346" s="1" t="s">
        <v>13</v>
      </c>
      <c r="C346" s="4" t="s">
        <v>1607</v>
      </c>
      <c r="D346" s="1" t="s">
        <v>1608</v>
      </c>
      <c r="E346" s="1" t="s">
        <v>1609</v>
      </c>
      <c r="F346" s="4" t="s">
        <v>17</v>
      </c>
      <c r="G346" s="1" t="s">
        <v>18</v>
      </c>
      <c r="H346" s="1" t="s">
        <v>19</v>
      </c>
      <c r="I346" s="1" t="s">
        <v>20</v>
      </c>
      <c r="J346" s="1" t="s">
        <v>1610</v>
      </c>
      <c r="K346" s="1" t="s">
        <v>22</v>
      </c>
      <c r="L346" s="1" t="str">
        <f>HYPERLINK("https://files.afu.se/Downloads/Transcripts/0%20-%20Government/USA%20-%20NASA%20Kennedy/2019 10 11 - NASA's Kennedy Space Center - ICON  Takeoff of L-1011 Stargazer Aircraft_VJj0w_rJfX8 - transcript (automated).pdf","Transcript Link")</f>
        <v>Transcript Link</v>
      </c>
      <c r="M346" s="2" t="str">
        <f>HYPERLINK("https://files.afu.se/Downloads/Transcripts/0%20-%20Government/USA%20-%20NASA%20Kennedy/2019 10 11 - NASA's Kennedy Space Center - ICON  Takeoff of L-1011 Stargazer Aircraft_VJj0w_rJfX8 - transcript (automated).pdf","Transcript Link")</f>
        <v>Transcript Link</v>
      </c>
    </row>
    <row r="347" ht="180" spans="1:13">
      <c r="A347" s="1" t="s">
        <v>1611</v>
      </c>
      <c r="B347" s="1" t="s">
        <v>13</v>
      </c>
      <c r="C347" s="4" t="s">
        <v>1612</v>
      </c>
      <c r="D347" s="1" t="s">
        <v>1613</v>
      </c>
      <c r="E347" s="1" t="s">
        <v>1614</v>
      </c>
      <c r="F347" s="4" t="s">
        <v>17</v>
      </c>
      <c r="G347" s="1" t="s">
        <v>18</v>
      </c>
      <c r="H347" s="1" t="s">
        <v>19</v>
      </c>
      <c r="I347" s="1" t="s">
        <v>20</v>
      </c>
      <c r="J347" s="1" t="s">
        <v>1615</v>
      </c>
      <c r="K347" s="1" t="s">
        <v>22</v>
      </c>
      <c r="L347" s="1" t="str">
        <f>HYPERLINK("https://files.afu.se/Downloads/Transcripts/0%20-%20Government/USA%20-%20NASA%20Kennedy/2019 10 07 - NASA's Kennedy Space Center - NASA's Commercial Crew Program VR 360 Tour  Video Highlights_Q412u-Pwzd0 - transcript (automated).pdf","Transcript Link")</f>
        <v>Transcript Link</v>
      </c>
      <c r="M347" s="2" t="str">
        <f>HYPERLINK("https://files.afu.se/Downloads/Transcripts/0%20-%20Government/USA%20-%20NASA%20Kennedy/2019 10 07 - NASA's Kennedy Space Center - NASA's Commercial Crew Program VR 360 Tour  Video Highlights_Q412u-Pwzd0 - transcript (automated).pdf","Transcript Link")</f>
        <v>Transcript Link</v>
      </c>
    </row>
    <row r="348" ht="180" spans="1:13">
      <c r="A348" s="1" t="s">
        <v>1611</v>
      </c>
      <c r="B348" s="1" t="s">
        <v>13</v>
      </c>
      <c r="C348" s="4" t="s">
        <v>1616</v>
      </c>
      <c r="D348" s="1" t="s">
        <v>1617</v>
      </c>
      <c r="E348" s="1" t="s">
        <v>1618</v>
      </c>
      <c r="F348" s="4" t="s">
        <v>17</v>
      </c>
      <c r="G348" s="1" t="s">
        <v>18</v>
      </c>
      <c r="H348" s="1" t="s">
        <v>19</v>
      </c>
      <c r="I348" s="1" t="s">
        <v>20</v>
      </c>
      <c r="J348" s="1" t="s">
        <v>1619</v>
      </c>
      <c r="K348" s="1" t="s">
        <v>22</v>
      </c>
      <c r="L348" s="1" t="str">
        <f>HYPERLINK("https://files.afu.se/Downloads/Transcripts/0%20-%20Government/USA%20-%20NASA%20Kennedy/2019 10 07 - NASA's Kennedy Space Center - NASA's Commercial Crew Program VR 360 Tour  Launching from Kennedy Space Center_H0_lGAC1cKc - transcript (automated).pdf","Transcript Link")</f>
        <v>Transcript Link</v>
      </c>
      <c r="M348" s="2" t="str">
        <f>HYPERLINK("https://files.afu.se/Downloads/Transcripts/0%20-%20Government/USA%20-%20NASA%20Kennedy/2019 10 07 - NASA's Kennedy Space Center - NASA's Commercial Crew Program VR 360 Tour  Launching from Kennedy Space Center_H0_lGAC1cKc - transcript (automated).pdf","Transcript Link")</f>
        <v>Transcript Link</v>
      </c>
    </row>
    <row r="349" ht="180" spans="1:13">
      <c r="A349" s="1" t="s">
        <v>1611</v>
      </c>
      <c r="B349" s="1" t="s">
        <v>13</v>
      </c>
      <c r="C349" s="4" t="s">
        <v>1620</v>
      </c>
      <c r="D349" s="1" t="s">
        <v>1621</v>
      </c>
      <c r="E349" s="1" t="s">
        <v>1622</v>
      </c>
      <c r="F349" s="4" t="s">
        <v>17</v>
      </c>
      <c r="G349" s="1" t="s">
        <v>18</v>
      </c>
      <c r="H349" s="1" t="s">
        <v>19</v>
      </c>
      <c r="I349" s="1" t="s">
        <v>20</v>
      </c>
      <c r="J349" s="1" t="s">
        <v>1623</v>
      </c>
      <c r="K349" s="1" t="s">
        <v>22</v>
      </c>
      <c r="L349" s="1" t="str">
        <f>HYPERLINK("https://files.afu.se/Downloads/Transcripts/0%20-%20Government/USA%20-%20NASA%20Kennedy/2019 10 07 - NASA's Kennedy Space Center - NASA's Commercial Crew Program VR 360 Tour  A New Era in Spaceflight_BMvPLd25LV8 - transcript (automated).pdf","Transcript Link")</f>
        <v>Transcript Link</v>
      </c>
      <c r="M349" s="2" t="str">
        <f>HYPERLINK("https://files.afu.se/Downloads/Transcripts/0%20-%20Government/USA%20-%20NASA%20Kennedy/2019 10 07 - NASA's Kennedy Space Center - NASA's Commercial Crew Program VR 360 Tour  A New Era in Spaceflight_BMvPLd25LV8 - transcript (automated).pdf","Transcript Link")</f>
        <v>Transcript Link</v>
      </c>
    </row>
    <row r="350" ht="180" spans="1:13">
      <c r="A350" s="1" t="s">
        <v>1611</v>
      </c>
      <c r="B350" s="1" t="s">
        <v>13</v>
      </c>
      <c r="C350" s="4" t="s">
        <v>1624</v>
      </c>
      <c r="D350" s="1" t="s">
        <v>1625</v>
      </c>
      <c r="E350" s="1" t="s">
        <v>1626</v>
      </c>
      <c r="F350" s="4" t="s">
        <v>17</v>
      </c>
      <c r="G350" s="1" t="s">
        <v>18</v>
      </c>
      <c r="H350" s="1" t="s">
        <v>19</v>
      </c>
      <c r="I350" s="1" t="s">
        <v>20</v>
      </c>
      <c r="J350" s="1" t="s">
        <v>1627</v>
      </c>
      <c r="K350" s="1" t="s">
        <v>22</v>
      </c>
      <c r="L350" s="1" t="str">
        <f>HYPERLINK("https://files.afu.se/Downloads/Transcripts/0%20-%20Government/USA%20-%20NASA%20Kennedy/2019 10 07 - NASA's Kennedy Space Center - NASA's Commercial Crew Program VR 360 Tour  Train Like an Astronaut_gk0ijHIP3hw - transcript (automated).pdf","Transcript Link")</f>
        <v>Transcript Link</v>
      </c>
      <c r="M350" s="2" t="str">
        <f>HYPERLINK("https://files.afu.se/Downloads/Transcripts/0%20-%20Government/USA%20-%20NASA%20Kennedy/2019 10 07 - NASA's Kennedy Space Center - NASA's Commercial Crew Program VR 360 Tour  Train Like an Astronaut_gk0ijHIP3hw - transcript (automated).pdf","Transcript Link")</f>
        <v>Transcript Link</v>
      </c>
    </row>
    <row r="351" ht="180" spans="1:13">
      <c r="A351" s="1" t="s">
        <v>1611</v>
      </c>
      <c r="B351" s="1" t="s">
        <v>13</v>
      </c>
      <c r="C351" s="4" t="s">
        <v>1628</v>
      </c>
      <c r="D351" s="1" t="s">
        <v>1629</v>
      </c>
      <c r="E351" s="1" t="s">
        <v>1630</v>
      </c>
      <c r="F351" s="4" t="s">
        <v>17</v>
      </c>
      <c r="G351" s="1" t="s">
        <v>18</v>
      </c>
      <c r="H351" s="1" t="s">
        <v>19</v>
      </c>
      <c r="I351" s="1" t="s">
        <v>20</v>
      </c>
      <c r="J351" s="1" t="s">
        <v>1631</v>
      </c>
      <c r="K351" s="1" t="s">
        <v>22</v>
      </c>
      <c r="L351" s="1" t="str">
        <f>HYPERLINK("https://files.afu.se/Downloads/Transcripts/0%20-%20Government/USA%20-%20NASA%20Kennedy/2019 10 07 - NASA's Kennedy Space Center - NASA's Commercial Crew Program VR 360 Tour  Boeing CST-100 Starliner_9rY_xecfMyc - transcript (automated).pdf","Transcript Link")</f>
        <v>Transcript Link</v>
      </c>
      <c r="M351" s="2" t="str">
        <f>HYPERLINK("https://files.afu.se/Downloads/Transcripts/0%20-%20Government/USA%20-%20NASA%20Kennedy/2019 10 07 - NASA's Kennedy Space Center - NASA's Commercial Crew Program VR 360 Tour  Boeing CST-100 Starliner_9rY_xecfMyc - transcript (automated).pdf","Transcript Link")</f>
        <v>Transcript Link</v>
      </c>
    </row>
    <row r="352" ht="180" spans="1:13">
      <c r="A352" s="1" t="s">
        <v>1611</v>
      </c>
      <c r="B352" s="1" t="s">
        <v>13</v>
      </c>
      <c r="C352" s="4" t="s">
        <v>1632</v>
      </c>
      <c r="D352" s="1" t="s">
        <v>1633</v>
      </c>
      <c r="E352" s="1" t="s">
        <v>1634</v>
      </c>
      <c r="F352" s="4" t="s">
        <v>17</v>
      </c>
      <c r="G352" s="1" t="s">
        <v>18</v>
      </c>
      <c r="H352" s="1" t="s">
        <v>19</v>
      </c>
      <c r="I352" s="1" t="s">
        <v>20</v>
      </c>
      <c r="J352" s="1" t="s">
        <v>1635</v>
      </c>
      <c r="K352" s="1" t="s">
        <v>22</v>
      </c>
      <c r="L352" s="1" t="str">
        <f>HYPERLINK("https://files.afu.se/Downloads/Transcripts/0%20-%20Government/USA%20-%20NASA%20Kennedy/2019 10 07 - NASA's Kennedy Space Center - NASA's Commercial Crew Program VR 360 Tour  SpaceX Crew Dragon_Rc5D2Jb7qXQ - transcript (automated).pdf","Transcript Link")</f>
        <v>Transcript Link</v>
      </c>
      <c r="M352" s="2" t="str">
        <f>HYPERLINK("https://files.afu.se/Downloads/Transcripts/0%20-%20Government/USA%20-%20NASA%20Kennedy/2019 10 07 - NASA's Kennedy Space Center - NASA's Commercial Crew Program VR 360 Tour  SpaceX Crew Dragon_Rc5D2Jb7qXQ - transcript (automated).pdf","Transcript Link")</f>
        <v>Transcript Link</v>
      </c>
    </row>
    <row r="353" ht="180" spans="1:13">
      <c r="A353" s="1" t="s">
        <v>1611</v>
      </c>
      <c r="B353" s="1" t="s">
        <v>13</v>
      </c>
      <c r="C353" s="4" t="s">
        <v>1636</v>
      </c>
      <c r="D353" s="1" t="s">
        <v>1637</v>
      </c>
      <c r="E353" s="1" t="s">
        <v>1638</v>
      </c>
      <c r="F353" s="4" t="s">
        <v>17</v>
      </c>
      <c r="G353" s="1" t="s">
        <v>18</v>
      </c>
      <c r="H353" s="1" t="s">
        <v>19</v>
      </c>
      <c r="I353" s="1" t="s">
        <v>20</v>
      </c>
      <c r="J353" s="1" t="s">
        <v>1639</v>
      </c>
      <c r="K353" s="1" t="s">
        <v>22</v>
      </c>
      <c r="L353" s="1" t="str">
        <f>HYPERLINK("https://files.afu.se/Downloads/Transcripts/0%20-%20Government/USA%20-%20NASA%20Kennedy/2019 10 07 - NASA's Kennedy Space Center - NASA's Commercial Crew Program VR 360 Tour  Preparing to Launch America_SUYuxZSaeH0 - transcript (automated).pdf","Transcript Link")</f>
        <v>Transcript Link</v>
      </c>
      <c r="M353" s="2" t="str">
        <f>HYPERLINK("https://files.afu.se/Downloads/Transcripts/0%20-%20Government/USA%20-%20NASA%20Kennedy/2019 10 07 - NASA's Kennedy Space Center - NASA's Commercial Crew Program VR 360 Tour  Preparing to Launch America_SUYuxZSaeH0 - transcript (automated).pdf","Transcript Link")</f>
        <v>Transcript Link</v>
      </c>
    </row>
    <row r="354" ht="180" spans="1:13">
      <c r="A354" s="1" t="s">
        <v>1640</v>
      </c>
      <c r="B354" s="1" t="s">
        <v>13</v>
      </c>
      <c r="C354" s="4" t="s">
        <v>1641</v>
      </c>
      <c r="D354" s="1" t="s">
        <v>1642</v>
      </c>
      <c r="E354" s="1" t="s">
        <v>1643</v>
      </c>
      <c r="F354" s="4" t="s">
        <v>17</v>
      </c>
      <c r="G354" s="1" t="s">
        <v>18</v>
      </c>
      <c r="H354" s="1" t="s">
        <v>19</v>
      </c>
      <c r="I354" s="1" t="s">
        <v>20</v>
      </c>
      <c r="J354" s="1" t="s">
        <v>1644</v>
      </c>
      <c r="K354" s="1" t="s">
        <v>22</v>
      </c>
      <c r="L354" s="1" t="str">
        <f>HYPERLINK("https://files.afu.se/Downloads/Transcripts/0%20-%20Government/USA%20-%20NASA%20Kennedy/2019 10 04 - NASA's Kennedy Space Center - Inside KSC! Oct. 4, 2019_lncMoOv7O-Y - transcript (automated).pdf","Transcript Link")</f>
        <v>Transcript Link</v>
      </c>
      <c r="M354" s="2" t="str">
        <f>HYPERLINK("https://files.afu.se/Downloads/Transcripts/0%20-%20Government/USA%20-%20NASA%20Kennedy/2019 10 04 - NASA's Kennedy Space Center - Inside KSC! Oct. 4, 2019_lncMoOv7O-Y - transcript (automated).pdf","Transcript Link")</f>
        <v>Transcript Link</v>
      </c>
    </row>
    <row r="355" ht="180" spans="1:13">
      <c r="A355" s="1" t="s">
        <v>1640</v>
      </c>
      <c r="B355" s="1" t="s">
        <v>13</v>
      </c>
      <c r="C355" s="4" t="s">
        <v>1645</v>
      </c>
      <c r="D355" s="1" t="s">
        <v>1646</v>
      </c>
      <c r="E355" s="1" t="s">
        <v>1647</v>
      </c>
      <c r="F355" s="4" t="s">
        <v>17</v>
      </c>
      <c r="G355" s="1" t="s">
        <v>18</v>
      </c>
      <c r="H355" s="1" t="s">
        <v>19</v>
      </c>
      <c r="I355" s="1" t="s">
        <v>20</v>
      </c>
      <c r="J355" s="1" t="s">
        <v>1648</v>
      </c>
      <c r="K355" s="1" t="s">
        <v>22</v>
      </c>
      <c r="L355" s="1" t="str">
        <f>HYPERLINK("https://files.afu.se/Downloads/Transcripts/0%20-%20Government/USA%20-%20NASA%20Kennedy/2019 10 04 - NASA's Kennedy Space Center - Rocket Ranch Episode 15  Jedi Masters of Launchery_S4iu55eDQhE - transcript (automated).pdf","Transcript Link")</f>
        <v>Transcript Link</v>
      </c>
      <c r="M355" s="2" t="str">
        <f>HYPERLINK("https://files.afu.se/Downloads/Transcripts/0%20-%20Government/USA%20-%20NASA%20Kennedy/2019 10 04 - NASA's Kennedy Space Center - Rocket Ranch Episode 15  Jedi Masters of Launchery_S4iu55eDQhE - transcript (automated).pdf","Transcript Link")</f>
        <v>Transcript Link</v>
      </c>
    </row>
    <row r="356" ht="180" spans="1:13">
      <c r="A356" s="1" t="s">
        <v>1640</v>
      </c>
      <c r="B356" s="1" t="s">
        <v>13</v>
      </c>
      <c r="C356" s="4" t="s">
        <v>1649</v>
      </c>
      <c r="D356" s="1" t="s">
        <v>1650</v>
      </c>
      <c r="E356" s="1" t="s">
        <v>1651</v>
      </c>
      <c r="F356" s="4" t="s">
        <v>17</v>
      </c>
      <c r="G356" s="1" t="s">
        <v>18</v>
      </c>
      <c r="H356" s="1" t="s">
        <v>19</v>
      </c>
      <c r="I356" s="1" t="s">
        <v>20</v>
      </c>
      <c r="J356" s="1" t="s">
        <v>1652</v>
      </c>
      <c r="K356" s="1" t="s">
        <v>22</v>
      </c>
      <c r="L356" s="1" t="str">
        <f>HYPERLINK("https://files.afu.se/Downloads/Transcripts/0%20-%20Government/USA%20-%20NASA%20Kennedy/2019 10 04 - NASA's Kennedy Space Center - Exploration Research and Technology Spotlight on Ralph Fritsche_QGrZ-Lq6pHs - transcript (automated).pdf","Transcript Link")</f>
        <v>Transcript Link</v>
      </c>
      <c r="M356" s="2" t="str">
        <f>HYPERLINK("https://files.afu.se/Downloads/Transcripts/0%20-%20Government/USA%20-%20NASA%20Kennedy/2019 10 04 - NASA's Kennedy Space Center - Exploration Research and Technology Spotlight on Ralph Fritsche_QGrZ-Lq6pHs - transcript (automated).pdf","Transcript Link")</f>
        <v>Transcript Link</v>
      </c>
    </row>
    <row r="357" ht="180" spans="1:13">
      <c r="A357" s="1" t="s">
        <v>1653</v>
      </c>
      <c r="B357" s="1" t="s">
        <v>13</v>
      </c>
      <c r="C357" s="4" t="s">
        <v>1654</v>
      </c>
      <c r="D357" s="1" t="s">
        <v>1655</v>
      </c>
      <c r="E357" s="1" t="s">
        <v>1656</v>
      </c>
      <c r="F357" s="4" t="s">
        <v>17</v>
      </c>
      <c r="G357" s="1" t="s">
        <v>18</v>
      </c>
      <c r="H357" s="1" t="s">
        <v>19</v>
      </c>
      <c r="I357" s="1" t="s">
        <v>20</v>
      </c>
      <c r="J357" s="1" t="s">
        <v>1657</v>
      </c>
      <c r="K357" s="1" t="s">
        <v>22</v>
      </c>
      <c r="L357" s="1" t="str">
        <f>HYPERLINK("https://files.afu.se/Downloads/Transcripts/0%20-%20Government/USA%20-%20NASA%20Kennedy/2019 09 27 - NASA's Kennedy Space Center - Inside KSC! Sept. 27, 2019_W7EJSd-nEp4 - transcript (automated).pdf","Transcript Link")</f>
        <v>Transcript Link</v>
      </c>
      <c r="M357" s="2" t="str">
        <f>HYPERLINK("https://files.afu.se/Downloads/Transcripts/0%20-%20Government/USA%20-%20NASA%20Kennedy/2019 09 27 - NASA's Kennedy Space Center - Inside KSC! Sept. 27, 2019_W7EJSd-nEp4 - transcript (automated).pdf","Transcript Link")</f>
        <v>Transcript Link</v>
      </c>
    </row>
    <row r="358" ht="180" spans="1:13">
      <c r="A358" s="1" t="s">
        <v>1658</v>
      </c>
      <c r="B358" s="1" t="s">
        <v>13</v>
      </c>
      <c r="C358" s="4" t="s">
        <v>1659</v>
      </c>
      <c r="D358" s="1" t="s">
        <v>1660</v>
      </c>
      <c r="E358" s="1" t="s">
        <v>1661</v>
      </c>
      <c r="F358" s="4" t="s">
        <v>17</v>
      </c>
      <c r="G358" s="1" t="s">
        <v>18</v>
      </c>
      <c r="H358" s="1" t="s">
        <v>19</v>
      </c>
      <c r="I358" s="1" t="s">
        <v>20</v>
      </c>
      <c r="J358" s="1" t="s">
        <v>1662</v>
      </c>
      <c r="K358" s="1" t="s">
        <v>22</v>
      </c>
      <c r="L358" s="1" t="str">
        <f>HYPERLINK("https://files.afu.se/Downloads/Transcripts/0%20-%20Government/USA%20-%20NASA%20Kennedy/2019 09 20 - NASA's Kennedy Space Center - Inside KSC! Sept. 20, 2019_hb_7EpI0r8Q - transcript (automated).pdf","Transcript Link")</f>
        <v>Transcript Link</v>
      </c>
      <c r="M358" s="2" t="str">
        <f>HYPERLINK("https://files.afu.se/Downloads/Transcripts/0%20-%20Government/USA%20-%20NASA%20Kennedy/2019 09 20 - NASA's Kennedy Space Center - Inside KSC! Sept. 20, 2019_hb_7EpI0r8Q - transcript (automated).pdf","Transcript Link")</f>
        <v>Transcript Link</v>
      </c>
    </row>
    <row r="359" ht="180" spans="1:13">
      <c r="A359" s="1" t="s">
        <v>1663</v>
      </c>
      <c r="B359" s="1" t="s">
        <v>13</v>
      </c>
      <c r="C359" s="4" t="s">
        <v>1664</v>
      </c>
      <c r="D359" s="1" t="s">
        <v>1665</v>
      </c>
      <c r="E359" s="1" t="s">
        <v>1666</v>
      </c>
      <c r="F359" s="4" t="s">
        <v>17</v>
      </c>
      <c r="G359" s="1" t="s">
        <v>18</v>
      </c>
      <c r="H359" s="1" t="s">
        <v>19</v>
      </c>
      <c r="I359" s="1" t="s">
        <v>20</v>
      </c>
      <c r="J359" s="1" t="s">
        <v>1667</v>
      </c>
      <c r="K359" s="1" t="s">
        <v>22</v>
      </c>
      <c r="L359" s="1" t="str">
        <f>HYPERLINK("https://files.afu.se/Downloads/Transcripts/0%20-%20Government/USA%20-%20NASA%20Kennedy/2019 09 18 - NASA's Kennedy Space Center - SpaceX Parachute Test_4XklSyOj_f4 - transcript (automated).pdf","Transcript Link")</f>
        <v>Transcript Link</v>
      </c>
      <c r="M359" s="2" t="str">
        <f>HYPERLINK("https://files.afu.se/Downloads/Transcripts/0%20-%20Government/USA%20-%20NASA%20Kennedy/2019 09 18 - NASA's Kennedy Space Center - SpaceX Parachute Test_4XklSyOj_f4 - transcript (automated).pdf","Transcript Link")</f>
        <v>Transcript Link</v>
      </c>
    </row>
    <row r="360" ht="180" spans="1:13">
      <c r="A360" s="1" t="s">
        <v>1668</v>
      </c>
      <c r="B360" s="1" t="s">
        <v>13</v>
      </c>
      <c r="C360" s="4" t="s">
        <v>1669</v>
      </c>
      <c r="D360" s="1" t="s">
        <v>1670</v>
      </c>
      <c r="E360" s="1" t="s">
        <v>1671</v>
      </c>
      <c r="F360" s="4" t="s">
        <v>17</v>
      </c>
      <c r="G360" s="1" t="s">
        <v>18</v>
      </c>
      <c r="H360" s="1" t="s">
        <v>19</v>
      </c>
      <c r="I360" s="1" t="s">
        <v>20</v>
      </c>
      <c r="J360" s="1" t="s">
        <v>1672</v>
      </c>
      <c r="K360" s="1" t="s">
        <v>22</v>
      </c>
      <c r="L360" s="1" t="str">
        <f>HYPERLINK("https://files.afu.se/Downloads/Transcripts/0%20-%20Government/USA%20-%20NASA%20Kennedy/2019 09 13 - NASA's Kennedy Space Center - Inside KSC! Sept. 13, 2019_91O70aPQGTY - transcript (automated).pdf","Transcript Link")</f>
        <v>Transcript Link</v>
      </c>
      <c r="M360" s="2" t="str">
        <f>HYPERLINK("https://files.afu.se/Downloads/Transcripts/0%20-%20Government/USA%20-%20NASA%20Kennedy/2019 09 13 - NASA's Kennedy Space Center - Inside KSC! Sept. 13, 2019_91O70aPQGTY - transcript (automated).pdf","Transcript Link")</f>
        <v>Transcript Link</v>
      </c>
    </row>
    <row r="361" ht="180" spans="1:13">
      <c r="A361" s="1" t="s">
        <v>1673</v>
      </c>
      <c r="B361" s="1" t="s">
        <v>13</v>
      </c>
      <c r="C361" s="4" t="s">
        <v>1674</v>
      </c>
      <c r="D361" s="1" t="s">
        <v>1675</v>
      </c>
      <c r="E361" s="1" t="s">
        <v>1676</v>
      </c>
      <c r="F361" s="4" t="s">
        <v>17</v>
      </c>
      <c r="G361" s="1" t="s">
        <v>18</v>
      </c>
      <c r="H361" s="1" t="s">
        <v>19</v>
      </c>
      <c r="I361" s="1" t="s">
        <v>20</v>
      </c>
      <c r="J361" s="1" t="s">
        <v>1677</v>
      </c>
      <c r="K361" s="1" t="s">
        <v>22</v>
      </c>
      <c r="L361" s="1" t="str">
        <f>HYPERLINK("https://files.afu.se/Downloads/Transcripts/0%20-%20Government/USA%20-%20NASA%20Kennedy/2019 09 11 - NASA's Kennedy Space Center - Rocket Ranch Episode 14  The Kids of Summer_hMfAxN0URMY - transcript (automated).pdf","Transcript Link")</f>
        <v>Transcript Link</v>
      </c>
      <c r="M361" s="2" t="str">
        <f>HYPERLINK("https://files.afu.se/Downloads/Transcripts/0%20-%20Government/USA%20-%20NASA%20Kennedy/2019 09 11 - NASA's Kennedy Space Center - Rocket Ranch Episode 14  The Kids of Summer_hMfAxN0URMY - transcript (automated).pdf","Transcript Link")</f>
        <v>Transcript Link</v>
      </c>
    </row>
    <row r="362" ht="180" spans="1:13">
      <c r="A362" s="1" t="s">
        <v>1678</v>
      </c>
      <c r="B362" s="1" t="s">
        <v>13</v>
      </c>
      <c r="C362" s="4" t="s">
        <v>1679</v>
      </c>
      <c r="D362" s="1" t="s">
        <v>1680</v>
      </c>
      <c r="E362" s="1" t="s">
        <v>1681</v>
      </c>
      <c r="F362" s="4" t="s">
        <v>17</v>
      </c>
      <c r="G362" s="1" t="s">
        <v>18</v>
      </c>
      <c r="H362" s="1" t="s">
        <v>19</v>
      </c>
      <c r="I362" s="1" t="s">
        <v>20</v>
      </c>
      <c r="J362" s="1" t="s">
        <v>1682</v>
      </c>
      <c r="K362" s="1" t="s">
        <v>22</v>
      </c>
      <c r="L362" s="1" t="str">
        <f>HYPERLINK("https://files.afu.se/Downloads/Transcripts/0%20-%20Government/USA%20-%20NASA%20Kennedy/2019 08 30 - NASA's Kennedy Space Center - Inside KSC! Aug. 30, 2019_4dHCgxtAp3M - transcript (automated).pdf","Transcript Link")</f>
        <v>Transcript Link</v>
      </c>
      <c r="M362" s="2" t="str">
        <f>HYPERLINK("https://files.afu.se/Downloads/Transcripts/0%20-%20Government/USA%20-%20NASA%20Kennedy/2019 08 30 - NASA's Kennedy Space Center - Inside KSC! Aug. 30, 2019_4dHCgxtAp3M - transcript (automated).pdf","Transcript Link")</f>
        <v>Transcript Link</v>
      </c>
    </row>
    <row r="363" ht="180" spans="1:13">
      <c r="A363" s="1" t="s">
        <v>1683</v>
      </c>
      <c r="B363" s="1" t="s">
        <v>13</v>
      </c>
      <c r="C363" s="4" t="s">
        <v>1684</v>
      </c>
      <c r="D363" s="1" t="s">
        <v>1685</v>
      </c>
      <c r="E363" s="1" t="s">
        <v>1686</v>
      </c>
      <c r="F363" s="4" t="s">
        <v>17</v>
      </c>
      <c r="G363" s="1" t="s">
        <v>18</v>
      </c>
      <c r="H363" s="1" t="s">
        <v>19</v>
      </c>
      <c r="I363" s="1" t="s">
        <v>20</v>
      </c>
      <c r="J363" s="1" t="s">
        <v>1687</v>
      </c>
      <c r="K363" s="1" t="s">
        <v>22</v>
      </c>
      <c r="L363" s="1" t="str">
        <f>HYPERLINK("https://files.afu.se/Downloads/Transcripts/0%20-%20Government/USA%20-%20NASA%20Kennedy/2019 08 23 - NASA's Kennedy Space Center - Inside KSC  Aug. 23, 2019_Hx8EWvKqDGM - transcript (automated).pdf","Transcript Link")</f>
        <v>Transcript Link</v>
      </c>
      <c r="M363" s="2" t="str">
        <f>HYPERLINK("https://files.afu.se/Downloads/Transcripts/0%20-%20Government/USA%20-%20NASA%20Kennedy/2019 08 23 - NASA's Kennedy Space Center - Inside KSC  Aug. 23, 2019_Hx8EWvKqDGM - transcript (automated).pdf","Transcript Link")</f>
        <v>Transcript Link</v>
      </c>
    </row>
    <row r="364" ht="180" spans="1:13">
      <c r="A364" s="1" t="s">
        <v>1688</v>
      </c>
      <c r="B364" s="1" t="s">
        <v>13</v>
      </c>
      <c r="C364" s="4" t="s">
        <v>1689</v>
      </c>
      <c r="D364" s="1" t="s">
        <v>1690</v>
      </c>
      <c r="E364" s="1" t="s">
        <v>1691</v>
      </c>
      <c r="F364" s="4" t="s">
        <v>17</v>
      </c>
      <c r="G364" s="1" t="s">
        <v>18</v>
      </c>
      <c r="H364" s="1" t="s">
        <v>19</v>
      </c>
      <c r="I364" s="1" t="s">
        <v>20</v>
      </c>
      <c r="J364" s="1" t="s">
        <v>1692</v>
      </c>
      <c r="K364" s="1" t="s">
        <v>22</v>
      </c>
      <c r="L364" s="1" t="str">
        <f>HYPERLINK("https://files.afu.se/Downloads/Transcripts/0%20-%20Government/USA%20-%20NASA%20Kennedy/2019 08 12 - NASA's Kennedy Space Center - Rocket Ranch Episode 13  When Rockets Need Rescue_-xoVUaHVKGE - transcript (automated).pdf","Transcript Link")</f>
        <v>Transcript Link</v>
      </c>
      <c r="M364" s="2" t="str">
        <f>HYPERLINK("https://files.afu.se/Downloads/Transcripts/0%20-%20Government/USA%20-%20NASA%20Kennedy/2019 08 12 - NASA's Kennedy Space Center - Rocket Ranch Episode 13  When Rockets Need Rescue_-xoVUaHVKGE - transcript (automated).pdf","Transcript Link")</f>
        <v>Transcript Link</v>
      </c>
    </row>
    <row r="365" ht="180" spans="1:13">
      <c r="A365" s="1" t="s">
        <v>1693</v>
      </c>
      <c r="B365" s="1" t="s">
        <v>13</v>
      </c>
      <c r="C365" s="4" t="s">
        <v>1694</v>
      </c>
      <c r="D365" s="1" t="s">
        <v>1695</v>
      </c>
      <c r="E365" s="1" t="s">
        <v>1696</v>
      </c>
      <c r="F365" s="4" t="s">
        <v>17</v>
      </c>
      <c r="G365" s="1" t="s">
        <v>18</v>
      </c>
      <c r="H365" s="1" t="s">
        <v>19</v>
      </c>
      <c r="I365" s="1" t="s">
        <v>20</v>
      </c>
      <c r="J365" s="1" t="s">
        <v>1697</v>
      </c>
      <c r="K365" s="1" t="s">
        <v>22</v>
      </c>
      <c r="L365" s="1" t="str">
        <f>HYPERLINK("https://files.afu.se/Downloads/Transcripts/0%20-%20Government/USA%20-%20NASA%20Kennedy/2019 08 09 - NASA's Kennedy Space Center - Inside KSC! Aug. 9, 2019_q7VOWA2BQbo - transcript (automated).pdf","Transcript Link")</f>
        <v>Transcript Link</v>
      </c>
      <c r="M365" s="2" t="str">
        <f>HYPERLINK("https://files.afu.se/Downloads/Transcripts/0%20-%20Government/USA%20-%20NASA%20Kennedy/2019 08 09 - NASA's Kennedy Space Center - Inside KSC! Aug. 9, 2019_q7VOWA2BQbo - transcript (automated).pdf","Transcript Link")</f>
        <v>Transcript Link</v>
      </c>
    </row>
    <row r="366" ht="180" spans="1:13">
      <c r="A366" s="1" t="s">
        <v>1698</v>
      </c>
      <c r="B366" s="1" t="s">
        <v>13</v>
      </c>
      <c r="C366" s="4" t="s">
        <v>1699</v>
      </c>
      <c r="D366" s="1" t="s">
        <v>1700</v>
      </c>
      <c r="E366" s="1" t="s">
        <v>1701</v>
      </c>
      <c r="F366" s="4" t="s">
        <v>17</v>
      </c>
      <c r="G366" s="1" t="s">
        <v>18</v>
      </c>
      <c r="H366" s="1" t="s">
        <v>19</v>
      </c>
      <c r="I366" s="1" t="s">
        <v>20</v>
      </c>
      <c r="J366" s="1" t="s">
        <v>1702</v>
      </c>
      <c r="K366" s="1" t="s">
        <v>22</v>
      </c>
      <c r="L366" s="1" t="str">
        <f>HYPERLINK("https://files.afu.se/Downloads/Transcripts/0%20-%20Government/USA%20-%20NASA%20Kennedy/2019 08 02 - NASA's Kennedy Space Center - Inside KSC! for Aug. 2, 2019_KY408NyQ8c0 - transcript (automated).pdf","Transcript Link")</f>
        <v>Transcript Link</v>
      </c>
      <c r="M366" s="2" t="str">
        <f>HYPERLINK("https://files.afu.se/Downloads/Transcripts/0%20-%20Government/USA%20-%20NASA%20Kennedy/2019 08 02 - NASA's Kennedy Space Center - Inside KSC! for Aug. 2, 2019_KY408NyQ8c0 - transcript (automated).pdf","Transcript Link")</f>
        <v>Transcript Link</v>
      </c>
    </row>
    <row r="367" ht="180" spans="1:13">
      <c r="A367" s="1" t="s">
        <v>1703</v>
      </c>
      <c r="B367" s="1" t="s">
        <v>13</v>
      </c>
      <c r="C367" s="4" t="s">
        <v>1704</v>
      </c>
      <c r="D367" s="1" t="s">
        <v>1705</v>
      </c>
      <c r="E367" s="1" t="s">
        <v>1706</v>
      </c>
      <c r="F367" s="4" t="s">
        <v>17</v>
      </c>
      <c r="G367" s="1" t="s">
        <v>18</v>
      </c>
      <c r="H367" s="1" t="s">
        <v>19</v>
      </c>
      <c r="I367" s="1" t="s">
        <v>20</v>
      </c>
      <c r="J367" s="1" t="s">
        <v>1707</v>
      </c>
      <c r="K367" s="1" t="s">
        <v>22</v>
      </c>
      <c r="L367" s="1" t="str">
        <f>HYPERLINK("https://files.afu.se/Downloads/Transcripts/0%20-%20Government/USA%20-%20NASA%20Kennedy/2019 07 26 - NASA's Kennedy Space Center - Inside KSC! for July 26, 2019__rzZcNcyI38 - transcript (automated).pdf","Transcript Link")</f>
        <v>Transcript Link</v>
      </c>
      <c r="M367" s="2" t="str">
        <f>HYPERLINK("https://files.afu.se/Downloads/Transcripts/0%20-%20Government/USA%20-%20NASA%20Kennedy/2019 07 26 - NASA's Kennedy Space Center - Inside KSC! for July 26, 2019__rzZcNcyI38 - transcript (automated).pdf","Transcript Link")</f>
        <v>Transcript Link</v>
      </c>
    </row>
    <row r="368" ht="180" spans="1:13">
      <c r="A368" s="1" t="s">
        <v>1708</v>
      </c>
      <c r="B368" s="1" t="s">
        <v>13</v>
      </c>
      <c r="C368" s="4" t="s">
        <v>1709</v>
      </c>
      <c r="D368" s="1" t="s">
        <v>1710</v>
      </c>
      <c r="E368" s="1" t="s">
        <v>1711</v>
      </c>
      <c r="F368" s="4" t="s">
        <v>17</v>
      </c>
      <c r="G368" s="1" t="s">
        <v>18</v>
      </c>
      <c r="H368" s="1" t="s">
        <v>19</v>
      </c>
      <c r="I368" s="1" t="s">
        <v>20</v>
      </c>
      <c r="J368" s="1" t="s">
        <v>1712</v>
      </c>
      <c r="K368" s="1" t="s">
        <v>22</v>
      </c>
      <c r="L368" s="1" t="str">
        <f>HYPERLINK("https://files.afu.se/Downloads/Transcripts/0%20-%20Government/USA%20-%20NASA%20Kennedy/2019 07 25 - NASA's Kennedy Space Center - CRS-18 Post Launch Interview_O4e8PiAPCqk - transcript (automated).pdf","Transcript Link")</f>
        <v>Transcript Link</v>
      </c>
      <c r="M368" s="2" t="str">
        <f>HYPERLINK("https://files.afu.se/Downloads/Transcripts/0%20-%20Government/USA%20-%20NASA%20Kennedy/2019 07 25 - NASA's Kennedy Space Center - CRS-18 Post Launch Interview_O4e8PiAPCqk - transcript (automated).pdf","Transcript Link")</f>
        <v>Transcript Link</v>
      </c>
    </row>
    <row r="369" ht="180" spans="1:13">
      <c r="A369" s="1" t="s">
        <v>1708</v>
      </c>
      <c r="B369" s="1" t="s">
        <v>13</v>
      </c>
      <c r="C369" s="4" t="s">
        <v>1713</v>
      </c>
      <c r="D369" s="1" t="s">
        <v>1714</v>
      </c>
      <c r="E369" s="1" t="s">
        <v>1715</v>
      </c>
      <c r="F369" s="4" t="s">
        <v>17</v>
      </c>
      <c r="G369" s="1" t="s">
        <v>18</v>
      </c>
      <c r="H369" s="1" t="s">
        <v>19</v>
      </c>
      <c r="I369" s="1" t="s">
        <v>20</v>
      </c>
      <c r="J369" s="1" t="s">
        <v>1716</v>
      </c>
      <c r="K369" s="1" t="s">
        <v>22</v>
      </c>
      <c r="L369" s="1" t="str">
        <f>HYPERLINK("https://files.afu.se/Downloads/Transcripts/0%20-%20Government/USA%20-%20NASA%20Kennedy/2019 07 25 - NASA's Kennedy Space Center - SpaceX CRS-18  Solar Arrays Deployed_x_0wBdZ5tgc - transcript (automated).pdf","Transcript Link")</f>
        <v>Transcript Link</v>
      </c>
      <c r="M369" s="2" t="str">
        <f>HYPERLINK("https://files.afu.se/Downloads/Transcripts/0%20-%20Government/USA%20-%20NASA%20Kennedy/2019 07 25 - NASA's Kennedy Space Center - SpaceX CRS-18  Solar Arrays Deployed_x_0wBdZ5tgc - transcript (automated).pdf","Transcript Link")</f>
        <v>Transcript Link</v>
      </c>
    </row>
    <row r="370" ht="180" spans="1:13">
      <c r="A370" s="1" t="s">
        <v>1708</v>
      </c>
      <c r="B370" s="1" t="s">
        <v>13</v>
      </c>
      <c r="C370" s="4" t="s">
        <v>1717</v>
      </c>
      <c r="D370" s="1" t="s">
        <v>1718</v>
      </c>
      <c r="E370" s="1" t="s">
        <v>1719</v>
      </c>
      <c r="F370" s="4" t="s">
        <v>17</v>
      </c>
      <c r="G370" s="1" t="s">
        <v>18</v>
      </c>
      <c r="H370" s="1" t="s">
        <v>19</v>
      </c>
      <c r="I370" s="1" t="s">
        <v>20</v>
      </c>
      <c r="J370" s="1" t="s">
        <v>1720</v>
      </c>
      <c r="K370" s="1" t="s">
        <v>22</v>
      </c>
      <c r="L370" s="1" t="str">
        <f>HYPERLINK("https://files.afu.se/Downloads/Transcripts/0%20-%20Government/USA%20-%20NASA%20Kennedy/2019 07 25 - NASA's Kennedy Space Center - SpaceX CRS-18 Liftoff!_iB6vOP4_9wM - transcript (automated).pdf","Transcript Link")</f>
        <v>Transcript Link</v>
      </c>
      <c r="M370" s="2" t="str">
        <f>HYPERLINK("https://files.afu.se/Downloads/Transcripts/0%20-%20Government/USA%20-%20NASA%20Kennedy/2019 07 25 - NASA's Kennedy Space Center - SpaceX CRS-18 Liftoff!_iB6vOP4_9wM - transcript (automated).pdf","Transcript Link")</f>
        <v>Transcript Link</v>
      </c>
    </row>
    <row r="371" ht="180" spans="1:13">
      <c r="A371" s="1" t="s">
        <v>1708</v>
      </c>
      <c r="B371" s="1" t="s">
        <v>13</v>
      </c>
      <c r="C371" s="4" t="s">
        <v>1721</v>
      </c>
      <c r="D371" s="1" t="s">
        <v>1722</v>
      </c>
      <c r="E371" s="1" t="s">
        <v>1723</v>
      </c>
      <c r="F371" s="4" t="s">
        <v>17</v>
      </c>
      <c r="G371" s="1" t="s">
        <v>18</v>
      </c>
      <c r="H371" s="1" t="s">
        <v>19</v>
      </c>
      <c r="I371" s="1" t="s">
        <v>20</v>
      </c>
      <c r="J371" s="1" t="s">
        <v>1724</v>
      </c>
      <c r="K371" s="1" t="s">
        <v>22</v>
      </c>
      <c r="L371" s="1" t="str">
        <f>HYPERLINK("https://files.afu.se/Downloads/Transcripts/0%20-%20Government/USA%20-%20NASA%20Kennedy/2019 07 25 - NASA's Kennedy Space Center - SpaceX CRS-18 Opening Broadcast  July 25, 2019_kaxXuzVZMT0 - transcript (automated).pdf","Transcript Link")</f>
        <v>Transcript Link</v>
      </c>
      <c r="M371" s="2" t="str">
        <f>HYPERLINK("https://files.afu.se/Downloads/Transcripts/0%20-%20Government/USA%20-%20NASA%20Kennedy/2019 07 25 - NASA's Kennedy Space Center - SpaceX CRS-18 Opening Broadcast  July 25, 2019_kaxXuzVZMT0 - transcript (automated).pdf","Transcript Link")</f>
        <v>Transcript Link</v>
      </c>
    </row>
    <row r="372" ht="180" spans="1:13">
      <c r="A372" s="1" t="s">
        <v>1725</v>
      </c>
      <c r="B372" s="1" t="s">
        <v>13</v>
      </c>
      <c r="C372" s="4" t="s">
        <v>1726</v>
      </c>
      <c r="D372" s="1" t="s">
        <v>1727</v>
      </c>
      <c r="E372" s="1" t="s">
        <v>1728</v>
      </c>
      <c r="F372" s="4" t="s">
        <v>17</v>
      </c>
      <c r="G372" s="1" t="s">
        <v>18</v>
      </c>
      <c r="H372" s="1" t="s">
        <v>19</v>
      </c>
      <c r="I372" s="1" t="s">
        <v>20</v>
      </c>
      <c r="J372" s="1" t="s">
        <v>1729</v>
      </c>
      <c r="K372" s="1" t="s">
        <v>22</v>
      </c>
      <c r="L372" s="1" t="str">
        <f>HYPERLINK("https://files.afu.se/Downloads/Transcripts/0%20-%20Government/USA%20-%20NASA%20Kennedy/2019 07 24 - NASA's Kennedy Space Center - SpaceX CRS-18 Launch is Scrubbed_O4dQTh6LKeU - transcript (automated).pdf","Transcript Link")</f>
        <v>Transcript Link</v>
      </c>
      <c r="M372" s="2" t="str">
        <f>HYPERLINK("https://files.afu.se/Downloads/Transcripts/0%20-%20Government/USA%20-%20NASA%20Kennedy/2019 07 24 - NASA's Kennedy Space Center - SpaceX CRS-18 Launch is Scrubbed_O4dQTh6LKeU - transcript (automated).pdf","Transcript Link")</f>
        <v>Transcript Link</v>
      </c>
    </row>
    <row r="373" ht="180" spans="1:13">
      <c r="A373" s="1" t="s">
        <v>1725</v>
      </c>
      <c r="B373" s="1" t="s">
        <v>13</v>
      </c>
      <c r="C373" s="4" t="s">
        <v>1730</v>
      </c>
      <c r="D373" s="1" t="s">
        <v>1731</v>
      </c>
      <c r="E373" s="1" t="s">
        <v>1732</v>
      </c>
      <c r="F373" s="4" t="s">
        <v>17</v>
      </c>
      <c r="G373" s="1" t="s">
        <v>18</v>
      </c>
      <c r="H373" s="1" t="s">
        <v>19</v>
      </c>
      <c r="I373" s="1" t="s">
        <v>20</v>
      </c>
      <c r="J373" s="1" t="s">
        <v>1733</v>
      </c>
      <c r="K373" s="1" t="s">
        <v>22</v>
      </c>
      <c r="L373" s="1" t="str">
        <f>HYPERLINK("https://files.afu.se/Downloads/Transcripts/0%20-%20Government/USA%20-%20NASA%20Kennedy/2019 07 24 - NASA's Kennedy Space Center - SpaceX CRS-18  Launch Broadcast Begins_M11E3kQgPqY - transcript (automated).pdf","Transcript Link")</f>
        <v>Transcript Link</v>
      </c>
      <c r="M373" s="2" t="str">
        <f>HYPERLINK("https://files.afu.se/Downloads/Transcripts/0%20-%20Government/USA%20-%20NASA%20Kennedy/2019 07 24 - NASA's Kennedy Space Center - SpaceX CRS-18  Launch Broadcast Begins_M11E3kQgPqY - transcript (automated).pdf","Transcript Link")</f>
        <v>Transcript Link</v>
      </c>
    </row>
    <row r="374" ht="180" spans="1:13">
      <c r="A374" s="1" t="s">
        <v>1734</v>
      </c>
      <c r="B374" s="1" t="s">
        <v>13</v>
      </c>
      <c r="C374" s="4" t="s">
        <v>1735</v>
      </c>
      <c r="D374" s="1" t="s">
        <v>1736</v>
      </c>
      <c r="E374" s="1" t="s">
        <v>1737</v>
      </c>
      <c r="F374" s="4" t="s">
        <v>17</v>
      </c>
      <c r="G374" s="1" t="s">
        <v>18</v>
      </c>
      <c r="H374" s="1" t="s">
        <v>19</v>
      </c>
      <c r="I374" s="1" t="s">
        <v>20</v>
      </c>
      <c r="J374" s="1" t="s">
        <v>1738</v>
      </c>
      <c r="K374" s="1" t="s">
        <v>22</v>
      </c>
      <c r="L374" s="1" t="str">
        <f>HYPERLINK("https://files.afu.se/Downloads/Transcripts/0%20-%20Government/USA%20-%20NASA%20Kennedy/2019 07 19 - NASA's Kennedy Space Center - Inside KSC! for July 19, 2019_2jsLPPN4EUY - transcript (automated).pdf","Transcript Link")</f>
        <v>Transcript Link</v>
      </c>
      <c r="M374" s="2" t="str">
        <f>HYPERLINK("https://files.afu.se/Downloads/Transcripts/0%20-%20Government/USA%20-%20NASA%20Kennedy/2019 07 19 - NASA's Kennedy Space Center - Inside KSC! for July 19, 2019_2jsLPPN4EUY - transcript (automated).pdf","Transcript Link")</f>
        <v>Transcript Link</v>
      </c>
    </row>
    <row r="375" ht="180" spans="1:13">
      <c r="A375" s="1" t="s">
        <v>1739</v>
      </c>
      <c r="B375" s="1" t="s">
        <v>13</v>
      </c>
      <c r="C375" s="4" t="s">
        <v>1740</v>
      </c>
      <c r="D375" s="1" t="s">
        <v>1741</v>
      </c>
      <c r="E375" s="1" t="s">
        <v>1742</v>
      </c>
      <c r="F375" s="4" t="s">
        <v>17</v>
      </c>
      <c r="G375" s="1" t="s">
        <v>18</v>
      </c>
      <c r="H375" s="1" t="s">
        <v>19</v>
      </c>
      <c r="I375" s="1" t="s">
        <v>20</v>
      </c>
      <c r="J375" s="1" t="s">
        <v>1743</v>
      </c>
      <c r="K375" s="1" t="s">
        <v>22</v>
      </c>
      <c r="L375" s="1" t="str">
        <f>HYPERLINK("https://files.afu.se/Downloads/Transcripts/0%20-%20Government/USA%20-%20NASA%20Kennedy/2019 07 16 - NASA's Kennedy Space Center - NASA Emmy Nomination for Coverage of SpaceX Demo-1 Mission_haXoWZTu6GE - transcript (automated).pdf","Transcript Link")</f>
        <v>Transcript Link</v>
      </c>
      <c r="M375" s="2" t="str">
        <f>HYPERLINK("https://files.afu.se/Downloads/Transcripts/0%20-%20Government/USA%20-%20NASA%20Kennedy/2019 07 16 - NASA's Kennedy Space Center - NASA Emmy Nomination for Coverage of SpaceX Demo-1 Mission_haXoWZTu6GE - transcript (automated).pdf","Transcript Link")</f>
        <v>Transcript Link</v>
      </c>
    </row>
    <row r="376" ht="180" spans="1:13">
      <c r="A376" s="1" t="s">
        <v>1744</v>
      </c>
      <c r="B376" s="1" t="s">
        <v>13</v>
      </c>
      <c r="C376" s="4" t="s">
        <v>1745</v>
      </c>
      <c r="D376" s="1" t="s">
        <v>1746</v>
      </c>
      <c r="E376" s="1" t="s">
        <v>1747</v>
      </c>
      <c r="F376" s="4" t="s">
        <v>17</v>
      </c>
      <c r="G376" s="1" t="s">
        <v>18</v>
      </c>
      <c r="H376" s="1" t="s">
        <v>19</v>
      </c>
      <c r="I376" s="1" t="s">
        <v>20</v>
      </c>
      <c r="J376" s="1" t="s">
        <v>1748</v>
      </c>
      <c r="K376" s="1" t="s">
        <v>22</v>
      </c>
      <c r="L376" s="1" t="str">
        <f>HYPERLINK("https://files.afu.se/Downloads/Transcripts/0%20-%20Government/USA%20-%20NASA%20Kennedy/2019 07 12 - NASA's Kennedy Space Center - Kennedy's Space Station Processing Facility Turns 25_esle7bnpwrM - transcript (automated).pdf","Transcript Link")</f>
        <v>Transcript Link</v>
      </c>
      <c r="M376" s="2" t="str">
        <f>HYPERLINK("https://files.afu.se/Downloads/Transcripts/0%20-%20Government/USA%20-%20NASA%20Kennedy/2019 07 12 - NASA's Kennedy Space Center - Kennedy's Space Station Processing Facility Turns 25_esle7bnpwrM - transcript (automated).pdf","Transcript Link")</f>
        <v>Transcript Link</v>
      </c>
    </row>
    <row r="377" ht="180" spans="1:13">
      <c r="A377" s="1" t="s">
        <v>1744</v>
      </c>
      <c r="B377" s="1" t="s">
        <v>13</v>
      </c>
      <c r="C377" s="4" t="s">
        <v>1749</v>
      </c>
      <c r="D377" s="1" t="s">
        <v>1750</v>
      </c>
      <c r="E377" s="1" t="s">
        <v>1751</v>
      </c>
      <c r="F377" s="4" t="s">
        <v>17</v>
      </c>
      <c r="G377" s="1" t="s">
        <v>18</v>
      </c>
      <c r="H377" s="1" t="s">
        <v>19</v>
      </c>
      <c r="I377" s="1" t="s">
        <v>20</v>
      </c>
      <c r="J377" s="1" t="s">
        <v>1752</v>
      </c>
      <c r="K377" s="1" t="s">
        <v>22</v>
      </c>
      <c r="L377" s="1" t="str">
        <f>HYPERLINK("https://files.afu.se/Downloads/Transcripts/0%20-%20Government/USA%20-%20NASA%20Kennedy/2019 07 12 - NASA's Kennedy Space Center - Inside KSC! for July 12, 2019_v9Gjp65MZj0 - transcript (automated).pdf","Transcript Link")</f>
        <v>Transcript Link</v>
      </c>
      <c r="M377" s="2" t="str">
        <f>HYPERLINK("https://files.afu.se/Downloads/Transcripts/0%20-%20Government/USA%20-%20NASA%20Kennedy/2019 07 12 - NASA's Kennedy Space Center - Inside KSC! for July 12, 2019_v9Gjp65MZj0 - transcript (automated).pdf","Transcript Link")</f>
        <v>Transcript Link</v>
      </c>
    </row>
    <row r="378" ht="240" spans="1:13">
      <c r="A378" s="1" t="s">
        <v>1753</v>
      </c>
      <c r="B378" s="1" t="s">
        <v>13</v>
      </c>
      <c r="C378" s="4" t="s">
        <v>1754</v>
      </c>
      <c r="D378" s="1" t="s">
        <v>1755</v>
      </c>
      <c r="E378" s="1" t="s">
        <v>1756</v>
      </c>
      <c r="F378" s="4" t="s">
        <v>17</v>
      </c>
      <c r="G378" s="1" t="s">
        <v>18</v>
      </c>
      <c r="H378" s="1" t="s">
        <v>19</v>
      </c>
      <c r="I378" s="1" t="s">
        <v>20</v>
      </c>
      <c r="J378" s="1" t="s">
        <v>1757</v>
      </c>
      <c r="K378" s="1" t="s">
        <v>22</v>
      </c>
      <c r="L378" s="1" t="str">
        <f>HYPERLINK("https://files.afu.se/Downloads/Transcripts/0%20-%20Government/USA%20-%20NASA%20Kennedy/2019 07 09 - NASA's Kennedy Space Center - NASA Conducts Successful Water Flow Test with Mobile Launcher_zFve9BrKj7k - transcript (automated).pdf","Transcript Link")</f>
        <v>Transcript Link</v>
      </c>
      <c r="M378" s="2" t="str">
        <f>HYPERLINK("https://files.afu.se/Downloads/Transcripts/0%20-%20Government/USA%20-%20NASA%20Kennedy/2019 07 09 - NASA's Kennedy Space Center - NASA Conducts Successful Water Flow Test with Mobile Launcher_zFve9BrKj7k - transcript (automated).pdf","Transcript Link")</f>
        <v>Transcript Link</v>
      </c>
    </row>
    <row r="379" ht="180" spans="1:13">
      <c r="A379" s="1" t="s">
        <v>1758</v>
      </c>
      <c r="B379" s="1" t="s">
        <v>13</v>
      </c>
      <c r="C379" s="4" t="s">
        <v>1759</v>
      </c>
      <c r="D379" s="1" t="s">
        <v>1760</v>
      </c>
      <c r="E379" s="1" t="s">
        <v>1761</v>
      </c>
      <c r="F379" s="4" t="s">
        <v>17</v>
      </c>
      <c r="G379" s="1" t="s">
        <v>18</v>
      </c>
      <c r="H379" s="1" t="s">
        <v>19</v>
      </c>
      <c r="I379" s="1" t="s">
        <v>20</v>
      </c>
      <c r="J379" s="1" t="s">
        <v>1762</v>
      </c>
      <c r="K379" s="1" t="s">
        <v>22</v>
      </c>
      <c r="L379" s="1" t="str">
        <f>HYPERLINK("https://files.afu.se/Downloads/Transcripts/0%20-%20Government/USA%20-%20NASA%20Kennedy/2019 07 08 - NASA's Kennedy Space Center - Rocket Ranch Episode 12  From Apollo to Artemis_orXIxoZs1i0 - transcript (automated).pdf","Transcript Link")</f>
        <v>Transcript Link</v>
      </c>
      <c r="M379" s="2" t="str">
        <f>HYPERLINK("https://files.afu.se/Downloads/Transcripts/0%20-%20Government/USA%20-%20NASA%20Kennedy/2019 07 08 - NASA's Kennedy Space Center - Rocket Ranch Episode 12  From Apollo to Artemis_orXIxoZs1i0 - transcript (automated).pdf","Transcript Link")</f>
        <v>Transcript Link</v>
      </c>
    </row>
    <row r="380" ht="180" spans="1:13">
      <c r="A380" s="1" t="s">
        <v>1763</v>
      </c>
      <c r="B380" s="1" t="s">
        <v>13</v>
      </c>
      <c r="C380" s="4" t="s">
        <v>1764</v>
      </c>
      <c r="D380" s="1" t="s">
        <v>1765</v>
      </c>
      <c r="E380" s="1" t="s">
        <v>1766</v>
      </c>
      <c r="F380" s="4" t="s">
        <v>17</v>
      </c>
      <c r="G380" s="1" t="s">
        <v>18</v>
      </c>
      <c r="H380" s="1" t="s">
        <v>19</v>
      </c>
      <c r="I380" s="1" t="s">
        <v>20</v>
      </c>
      <c r="J380" s="1" t="s">
        <v>1767</v>
      </c>
      <c r="K380" s="1" t="s">
        <v>22</v>
      </c>
      <c r="L380" s="1" t="str">
        <f>HYPERLINK("https://files.afu.se/Downloads/Transcripts/0%20-%20Government/USA%20-%20NASA%20Kennedy/2019 07 05 - NASA's Kennedy Space Center - Inside KSC! for July 5, 2019_fpJ7MegTLBo - transcript (automated).pdf","Transcript Link")</f>
        <v>Transcript Link</v>
      </c>
      <c r="M380" s="2" t="str">
        <f>HYPERLINK("https://files.afu.se/Downloads/Transcripts/0%20-%20Government/USA%20-%20NASA%20Kennedy/2019 07 05 - NASA's Kennedy Space Center - Inside KSC! for July 5, 2019_fpJ7MegTLBo - transcript (automated).pdf","Transcript Link")</f>
        <v>Transcript Link</v>
      </c>
    </row>
    <row r="381" ht="180" spans="1:13">
      <c r="A381" s="1" t="s">
        <v>1768</v>
      </c>
      <c r="B381" s="1" t="s">
        <v>13</v>
      </c>
      <c r="C381" s="4" t="s">
        <v>1769</v>
      </c>
      <c r="D381" s="1" t="s">
        <v>1770</v>
      </c>
      <c r="E381" s="1" t="s">
        <v>1771</v>
      </c>
      <c r="F381" s="4" t="s">
        <v>17</v>
      </c>
      <c r="G381" s="1" t="s">
        <v>18</v>
      </c>
      <c r="H381" s="1" t="s">
        <v>19</v>
      </c>
      <c r="I381" s="1" t="s">
        <v>20</v>
      </c>
      <c r="J381" s="1" t="s">
        <v>1772</v>
      </c>
      <c r="K381" s="1" t="s">
        <v>22</v>
      </c>
      <c r="L381" s="1" t="str">
        <f>HYPERLINK("https://files.afu.se/Downloads/Transcripts/0%20-%20Government/USA%20-%20NASA%20Kennedy/2019 07 02 - NASA's Kennedy Space Center - NASA’s Ascent Abort-2 Flight Test Launches atop Northrop Grumman Provided Booster_4rfsDMGplZU - transcript (automated).pdf","Transcript Link")</f>
        <v>Transcript Link</v>
      </c>
      <c r="M381" s="2" t="str">
        <f>HYPERLINK("https://files.afu.se/Downloads/Transcripts/0%20-%20Government/USA%20-%20NASA%20Kennedy/2019 07 02 - NASA's Kennedy Space Center - NASA’s Ascent Abort-2 Flight Test Launches atop Northrop Grumman Provided Booster_4rfsDMGplZU - transcript (automated).pdf","Transcript Link")</f>
        <v>Transcript Link</v>
      </c>
    </row>
    <row r="382" ht="180" spans="1:13">
      <c r="A382" s="1" t="s">
        <v>1773</v>
      </c>
      <c r="B382" s="1" t="s">
        <v>13</v>
      </c>
      <c r="C382" s="4" t="s">
        <v>1774</v>
      </c>
      <c r="D382" s="1" t="s">
        <v>1775</v>
      </c>
      <c r="E382" s="1" t="s">
        <v>1776</v>
      </c>
      <c r="F382" s="4" t="s">
        <v>17</v>
      </c>
      <c r="G382" s="1" t="s">
        <v>18</v>
      </c>
      <c r="H382" s="1" t="s">
        <v>19</v>
      </c>
      <c r="I382" s="1" t="s">
        <v>20</v>
      </c>
      <c r="J382" s="1" t="s">
        <v>1777</v>
      </c>
      <c r="K382" s="1" t="s">
        <v>22</v>
      </c>
      <c r="L382" s="1" t="str">
        <f>HYPERLINK("https://files.afu.se/Downloads/Transcripts/0%20-%20Government/USA%20-%20NASA%20Kennedy/2019 06 28 - NASA's Kennedy Space Center - Inside KSC! for June 28, 2019_q6XjCJGX_fk - transcript (automated).pdf","Transcript Link")</f>
        <v>Transcript Link</v>
      </c>
      <c r="M382" s="2" t="str">
        <f>HYPERLINK("https://files.afu.se/Downloads/Transcripts/0%20-%20Government/USA%20-%20NASA%20Kennedy/2019 06 28 - NASA's Kennedy Space Center - Inside KSC! for June 28, 2019_q6XjCJGX_fk - transcript (automated).pdf","Transcript Link")</f>
        <v>Transcript Link</v>
      </c>
    </row>
    <row r="383" ht="180" spans="1:13">
      <c r="A383" s="1" t="s">
        <v>1778</v>
      </c>
      <c r="B383" s="1" t="s">
        <v>13</v>
      </c>
      <c r="C383" s="4" t="s">
        <v>1779</v>
      </c>
      <c r="D383" s="1" t="s">
        <v>1780</v>
      </c>
      <c r="E383" s="1" t="s">
        <v>1781</v>
      </c>
      <c r="F383" s="4" t="s">
        <v>17</v>
      </c>
      <c r="G383" s="1" t="s">
        <v>18</v>
      </c>
      <c r="H383" s="1" t="s">
        <v>19</v>
      </c>
      <c r="I383" s="1" t="s">
        <v>20</v>
      </c>
      <c r="J383" s="1" t="s">
        <v>1782</v>
      </c>
      <c r="K383" s="1" t="s">
        <v>22</v>
      </c>
      <c r="L383" s="1" t="str">
        <f>HYPERLINK("https://files.afu.se/Downloads/Transcripts/0%20-%20Government/USA%20-%20NASA%20Kennedy/2019 06 21 - NASA's Kennedy Space Center - Inside KSC! for June 21, 2019_qFLdcT6Y94M - transcript (automated).pdf","Transcript Link")</f>
        <v>Transcript Link</v>
      </c>
      <c r="M383" s="2" t="str">
        <f>HYPERLINK("https://files.afu.se/Downloads/Transcripts/0%20-%20Government/USA%20-%20NASA%20Kennedy/2019 06 21 - NASA's Kennedy Space Center - Inside KSC! for June 21, 2019_qFLdcT6Y94M - transcript (automated).pdf","Transcript Link")</f>
        <v>Transcript Link</v>
      </c>
    </row>
    <row r="384" ht="180" spans="1:13">
      <c r="A384" s="1" t="s">
        <v>1783</v>
      </c>
      <c r="B384" s="1" t="s">
        <v>13</v>
      </c>
      <c r="C384" s="4" t="s">
        <v>1784</v>
      </c>
      <c r="D384" s="1" t="s">
        <v>1785</v>
      </c>
      <c r="E384" s="1" t="s">
        <v>1786</v>
      </c>
      <c r="F384" s="4" t="s">
        <v>17</v>
      </c>
      <c r="G384" s="1" t="s">
        <v>18</v>
      </c>
      <c r="H384" s="1" t="s">
        <v>19</v>
      </c>
      <c r="I384" s="1" t="s">
        <v>20</v>
      </c>
      <c r="J384" s="1" t="s">
        <v>1787</v>
      </c>
      <c r="K384" s="1" t="s">
        <v>22</v>
      </c>
      <c r="L384" s="1" t="str">
        <f>HYPERLINK("https://files.afu.se/Downloads/Transcripts/0%20-%20Government/USA%20-%20NASA%20Kennedy/2019 06 14 - NASA's Kennedy Space Center - Explore Kennedy Space Center  Pad 39B_VPQgJ5Hr7Is - transcript (automated).pdf","Transcript Link")</f>
        <v>Transcript Link</v>
      </c>
      <c r="M384" s="2" t="str">
        <f>HYPERLINK("https://files.afu.se/Downloads/Transcripts/0%20-%20Government/USA%20-%20NASA%20Kennedy/2019 06 14 - NASA's Kennedy Space Center - Explore Kennedy Space Center  Pad 39B_VPQgJ5Hr7Is - transcript (automated).pdf","Transcript Link")</f>
        <v>Transcript Link</v>
      </c>
    </row>
    <row r="385" ht="180" spans="1:13">
      <c r="A385" s="1" t="s">
        <v>1783</v>
      </c>
      <c r="B385" s="1" t="s">
        <v>13</v>
      </c>
      <c r="C385" s="4" t="s">
        <v>1788</v>
      </c>
      <c r="D385" s="1" t="s">
        <v>1789</v>
      </c>
      <c r="E385" s="1" t="s">
        <v>1790</v>
      </c>
      <c r="F385" s="4" t="s">
        <v>17</v>
      </c>
      <c r="G385" s="1" t="s">
        <v>18</v>
      </c>
      <c r="H385" s="1" t="s">
        <v>19</v>
      </c>
      <c r="I385" s="1" t="s">
        <v>20</v>
      </c>
      <c r="J385" s="1" t="s">
        <v>1791</v>
      </c>
      <c r="K385" s="1" t="s">
        <v>22</v>
      </c>
      <c r="L385" s="1" t="str">
        <f>HYPERLINK("https://files.afu.se/Downloads/Transcripts/0%20-%20Government/USA%20-%20NASA%20Kennedy/2019 06 14 - NASA's Kennedy Space Center - Inside KSC! for June 14, 2019_hSPgZmAkUgQ - transcript (automated).pdf","Transcript Link")</f>
        <v>Transcript Link</v>
      </c>
      <c r="M385" s="2" t="str">
        <f>HYPERLINK("https://files.afu.se/Downloads/Transcripts/0%20-%20Government/USA%20-%20NASA%20Kennedy/2019 06 14 - NASA's Kennedy Space Center - Inside KSC! for June 14, 2019_hSPgZmAkUgQ - transcript (automated).pdf","Transcript Link")</f>
        <v>Transcript Link</v>
      </c>
    </row>
    <row r="386" ht="180" spans="1:13">
      <c r="A386" s="1" t="s">
        <v>1792</v>
      </c>
      <c r="B386" s="1" t="s">
        <v>13</v>
      </c>
      <c r="C386" s="4" t="s">
        <v>1793</v>
      </c>
      <c r="D386" s="1" t="s">
        <v>1794</v>
      </c>
      <c r="E386" s="1" t="s">
        <v>1795</v>
      </c>
      <c r="F386" s="4" t="s">
        <v>17</v>
      </c>
      <c r="G386" s="1" t="s">
        <v>18</v>
      </c>
      <c r="H386" s="1" t="s">
        <v>19</v>
      </c>
      <c r="I386" s="1" t="s">
        <v>20</v>
      </c>
      <c r="J386" s="1" t="s">
        <v>1796</v>
      </c>
      <c r="K386" s="1" t="s">
        <v>22</v>
      </c>
      <c r="L386" s="1" t="str">
        <f>HYPERLINK("https://files.afu.se/Downloads/Transcripts/0%20-%20Government/USA%20-%20NASA%20Kennedy/2019 06 13 - NASA's Kennedy Space Center - Celebrating Apollo  Explore Humans in Space_6t6SG5-AjbA - transcript (automated).pdf","Transcript Link")</f>
        <v>Transcript Link</v>
      </c>
      <c r="M386" s="2" t="str">
        <f>HYPERLINK("https://files.afu.se/Downloads/Transcripts/0%20-%20Government/USA%20-%20NASA%20Kennedy/2019 06 13 - NASA's Kennedy Space Center - Celebrating Apollo  Explore Humans in Space_6t6SG5-AjbA - transcript (automated).pdf","Transcript Link")</f>
        <v>Transcript Link</v>
      </c>
    </row>
    <row r="387" ht="180" spans="1:13">
      <c r="A387" s="1" t="s">
        <v>1797</v>
      </c>
      <c r="B387" s="1" t="s">
        <v>13</v>
      </c>
      <c r="C387" s="4" t="s">
        <v>1798</v>
      </c>
      <c r="D387" s="1" t="s">
        <v>1799</v>
      </c>
      <c r="E387" s="1" t="s">
        <v>1800</v>
      </c>
      <c r="F387" s="4" t="s">
        <v>17</v>
      </c>
      <c r="G387" s="1" t="s">
        <v>18</v>
      </c>
      <c r="H387" s="1" t="s">
        <v>19</v>
      </c>
      <c r="I387" s="1" t="s">
        <v>20</v>
      </c>
      <c r="J387" s="1" t="s">
        <v>1801</v>
      </c>
      <c r="K387" s="1" t="s">
        <v>22</v>
      </c>
      <c r="L387" s="1" t="str">
        <f>HYPERLINK("https://files.afu.se/Downloads/Transcripts/0%20-%20Government/USA%20-%20NASA%20Kennedy/2019 06 07 - NASA's Kennedy Space Center - Inside KSC! for June 7, 2019_jPSok86e4FA - transcript (automated).pdf","Transcript Link")</f>
        <v>Transcript Link</v>
      </c>
      <c r="M387" s="2" t="str">
        <f>HYPERLINK("https://files.afu.se/Downloads/Transcripts/0%20-%20Government/USA%20-%20NASA%20Kennedy/2019 06 07 - NASA's Kennedy Space Center - Inside KSC! for June 7, 2019_jPSok86e4FA - transcript (automated).pdf","Transcript Link")</f>
        <v>Transcript Link</v>
      </c>
    </row>
    <row r="388" ht="180" spans="1:13">
      <c r="A388" s="1" t="s">
        <v>1802</v>
      </c>
      <c r="B388" s="1" t="s">
        <v>13</v>
      </c>
      <c r="C388" s="4" t="s">
        <v>1803</v>
      </c>
      <c r="D388" s="1" t="s">
        <v>1804</v>
      </c>
      <c r="E388" s="1" t="s">
        <v>1805</v>
      </c>
      <c r="F388" s="4" t="s">
        <v>17</v>
      </c>
      <c r="G388" s="1" t="s">
        <v>18</v>
      </c>
      <c r="H388" s="1" t="s">
        <v>19</v>
      </c>
      <c r="I388" s="1" t="s">
        <v>20</v>
      </c>
      <c r="J388" s="1" t="s">
        <v>1806</v>
      </c>
      <c r="K388" s="1" t="s">
        <v>22</v>
      </c>
      <c r="L388" s="1" t="str">
        <f>HYPERLINK("https://files.afu.se/Downloads/Transcripts/0%20-%20Government/USA%20-%20NASA%20Kennedy/2019 06 04 - NASA's Kennedy Space Center - Commercial Crew   Springing  into Action_8-9amsugSXA - transcript (automated).pdf","Transcript Link")</f>
        <v>Transcript Link</v>
      </c>
      <c r="M388" s="2" t="str">
        <f>HYPERLINK("https://files.afu.se/Downloads/Transcripts/0%20-%20Government/USA%20-%20NASA%20Kennedy/2019 06 04 - NASA's Kennedy Space Center - Commercial Crew   Springing  into Action_8-9amsugSXA - transcript (automated).pdf","Transcript Link")</f>
        <v>Transcript Link</v>
      </c>
    </row>
    <row r="389" ht="180" spans="1:13">
      <c r="A389" s="1" t="s">
        <v>1807</v>
      </c>
      <c r="B389" s="1" t="s">
        <v>13</v>
      </c>
      <c r="C389" s="4" t="s">
        <v>1808</v>
      </c>
      <c r="D389" s="1" t="s">
        <v>1809</v>
      </c>
      <c r="E389" s="1" t="s">
        <v>1810</v>
      </c>
      <c r="F389" s="4" t="s">
        <v>17</v>
      </c>
      <c r="G389" s="1" t="s">
        <v>18</v>
      </c>
      <c r="H389" s="1" t="s">
        <v>19</v>
      </c>
      <c r="I389" s="1" t="s">
        <v>20</v>
      </c>
      <c r="J389" s="1" t="s">
        <v>1811</v>
      </c>
      <c r="K389" s="1" t="s">
        <v>22</v>
      </c>
      <c r="L389" s="1" t="str">
        <f>HYPERLINK("https://files.afu.se/Downloads/Transcripts/0%20-%20Government/USA%20-%20NASA%20Kennedy/2019 05 31 - NASA's Kennedy Space Center - Inside KSC! for May 31, 2019_sZDv0Zka2Pk - transcript (automated).pdf","Transcript Link")</f>
        <v>Transcript Link</v>
      </c>
      <c r="M389" s="2" t="str">
        <f>HYPERLINK("https://files.afu.se/Downloads/Transcripts/0%20-%20Government/USA%20-%20NASA%20Kennedy/2019 05 31 - NASA's Kennedy Space Center - Inside KSC! for May 31, 2019_sZDv0Zka2Pk - transcript (automated).pdf","Transcript Link")</f>
        <v>Transcript Link</v>
      </c>
    </row>
    <row r="390" ht="180" spans="1:13">
      <c r="A390" s="1" t="s">
        <v>1812</v>
      </c>
      <c r="B390" s="1" t="s">
        <v>13</v>
      </c>
      <c r="C390" s="4" t="s">
        <v>1813</v>
      </c>
      <c r="D390" s="1" t="s">
        <v>1814</v>
      </c>
      <c r="E390" s="1" t="s">
        <v>1815</v>
      </c>
      <c r="F390" s="4" t="s">
        <v>17</v>
      </c>
      <c r="G390" s="1" t="s">
        <v>18</v>
      </c>
      <c r="H390" s="1" t="s">
        <v>19</v>
      </c>
      <c r="I390" s="1" t="s">
        <v>20</v>
      </c>
      <c r="J390" s="1" t="s">
        <v>1816</v>
      </c>
      <c r="K390" s="1" t="s">
        <v>22</v>
      </c>
      <c r="L390" s="1" t="str">
        <f>HYPERLINK("https://files.afu.se/Downloads/Transcripts/0%20-%20Government/USA%20-%20NASA%20Kennedy/2019 05 24 - NASA's Kennedy Space Center - Inside KSC! for May 24, 2019_cSGbpZ6hOg0 - transcript (automated).pdf","Transcript Link")</f>
        <v>Transcript Link</v>
      </c>
      <c r="M390" s="2" t="str">
        <f>HYPERLINK("https://files.afu.se/Downloads/Transcripts/0%20-%20Government/USA%20-%20NASA%20Kennedy/2019 05 24 - NASA's Kennedy Space Center - Inside KSC! for May 24, 2019_cSGbpZ6hOg0 - transcript (automated).pdf","Transcript Link")</f>
        <v>Transcript Link</v>
      </c>
    </row>
    <row r="391" ht="180" spans="1:13">
      <c r="A391" s="1" t="s">
        <v>1817</v>
      </c>
      <c r="B391" s="1" t="s">
        <v>13</v>
      </c>
      <c r="C391" s="4" t="s">
        <v>1818</v>
      </c>
      <c r="D391" s="1" t="s">
        <v>1819</v>
      </c>
      <c r="F391" s="4" t="s">
        <v>17</v>
      </c>
      <c r="G391" s="1" t="s">
        <v>18</v>
      </c>
      <c r="H391" s="1" t="s">
        <v>19</v>
      </c>
      <c r="I391" s="1" t="s">
        <v>20</v>
      </c>
      <c r="J391" s="1" t="s">
        <v>1820</v>
      </c>
      <c r="K391" s="1" t="s">
        <v>22</v>
      </c>
      <c r="L391" s="1" t="str">
        <f>HYPERLINK("https://files.afu.se/Downloads/Transcripts/0%20-%20Government/USA%20-%20NASA%20Kennedy/2019 05 20 - NASA's Kennedy Space Center - Kennedy Space Center New Central Campus Building_GRsrUvgPnvA - transcript (automated).pdf","Transcript Link")</f>
        <v>Transcript Link</v>
      </c>
      <c r="M391" s="2" t="str">
        <f>HYPERLINK("https://files.afu.se/Downloads/Transcripts/0%20-%20Government/USA%20-%20NASA%20Kennedy/2019 05 20 - NASA's Kennedy Space Center - Kennedy Space Center New Central Campus Building_GRsrUvgPnvA - transcript (automated).pdf","Transcript Link")</f>
        <v>Transcript Link</v>
      </c>
    </row>
    <row r="392" ht="180" spans="1:13">
      <c r="A392" s="1" t="s">
        <v>1821</v>
      </c>
      <c r="B392" s="1" t="s">
        <v>13</v>
      </c>
      <c r="C392" s="4" t="s">
        <v>1822</v>
      </c>
      <c r="D392" s="1" t="s">
        <v>1823</v>
      </c>
      <c r="E392" s="1" t="s">
        <v>1824</v>
      </c>
      <c r="F392" s="4" t="s">
        <v>17</v>
      </c>
      <c r="G392" s="1" t="s">
        <v>18</v>
      </c>
      <c r="H392" s="1" t="s">
        <v>19</v>
      </c>
      <c r="I392" s="1" t="s">
        <v>20</v>
      </c>
      <c r="J392" s="1" t="s">
        <v>1825</v>
      </c>
      <c r="K392" s="1" t="s">
        <v>22</v>
      </c>
      <c r="L392" s="1" t="str">
        <f>HYPERLINK("https://files.afu.se/Downloads/Transcripts/0%20-%20Government/USA%20-%20NASA%20Kennedy/2019 05 17 - NASA's Kennedy Space Center - Inside KSC! for May 17, 2019_t9h88z8Sxr8 - transcript (automated).pdf","Transcript Link")</f>
        <v>Transcript Link</v>
      </c>
      <c r="M392" s="2" t="str">
        <f>HYPERLINK("https://files.afu.se/Downloads/Transcripts/0%20-%20Government/USA%20-%20NASA%20Kennedy/2019 05 17 - NASA's Kennedy Space Center - Inside KSC! for May 17, 2019_t9h88z8Sxr8 - transcript (automated).pdf","Transcript Link")</f>
        <v>Transcript Link</v>
      </c>
    </row>
    <row r="393" ht="180" spans="1:13">
      <c r="A393" s="1" t="s">
        <v>1826</v>
      </c>
      <c r="B393" s="1" t="s">
        <v>13</v>
      </c>
      <c r="C393" s="4" t="s">
        <v>1827</v>
      </c>
      <c r="D393" s="1" t="s">
        <v>1828</v>
      </c>
      <c r="E393" s="1" t="s">
        <v>1829</v>
      </c>
      <c r="F393" s="4" t="s">
        <v>17</v>
      </c>
      <c r="G393" s="1" t="s">
        <v>18</v>
      </c>
      <c r="H393" s="1" t="s">
        <v>19</v>
      </c>
      <c r="I393" s="1" t="s">
        <v>20</v>
      </c>
      <c r="J393" s="1" t="s">
        <v>1830</v>
      </c>
      <c r="K393" s="1" t="s">
        <v>22</v>
      </c>
      <c r="L393" s="1" t="str">
        <f>HYPERLINK("https://files.afu.se/Downloads/Transcripts/0%20-%20Government/USA%20-%20NASA%20Kennedy/2019 05 16 - NASA's Kennedy Space Center - Rocket Ranch Podcast Episode 10  Gateway_ugxbcl17VpY - transcript (automated).pdf","Transcript Link")</f>
        <v>Transcript Link</v>
      </c>
      <c r="M393" s="2" t="str">
        <f>HYPERLINK("https://files.afu.se/Downloads/Transcripts/0%20-%20Government/USA%20-%20NASA%20Kennedy/2019 05 16 - NASA's Kennedy Space Center - Rocket Ranch Podcast Episode 10  Gateway_ugxbcl17VpY - transcript (automated).pdf","Transcript Link")</f>
        <v>Transcript Link</v>
      </c>
    </row>
    <row r="394" ht="180" spans="1:13">
      <c r="A394" s="1" t="s">
        <v>1831</v>
      </c>
      <c r="B394" s="1" t="s">
        <v>13</v>
      </c>
      <c r="C394" s="4" t="s">
        <v>1832</v>
      </c>
      <c r="D394" s="1" t="s">
        <v>1833</v>
      </c>
      <c r="E394" s="1" t="s">
        <v>1834</v>
      </c>
      <c r="F394" s="4" t="s">
        <v>17</v>
      </c>
      <c r="G394" s="1" t="s">
        <v>18</v>
      </c>
      <c r="H394" s="1" t="s">
        <v>19</v>
      </c>
      <c r="I394" s="1" t="s">
        <v>20</v>
      </c>
      <c r="J394" s="1" t="s">
        <v>1835</v>
      </c>
      <c r="K394" s="1" t="s">
        <v>22</v>
      </c>
      <c r="L394" s="1" t="str">
        <f>HYPERLINK("https://files.afu.se/Downloads/Transcripts/0%20-%20Government/USA%20-%20NASA%20Kennedy/2019 05 15 - NASA's Kennedy Space Center - Safety a Top Priority of NASA's Commercial Crew Program_dDMxBg4RWko - transcript (automated).pdf","Transcript Link")</f>
        <v>Transcript Link</v>
      </c>
      <c r="M394" s="2" t="str">
        <f>HYPERLINK("https://files.afu.se/Downloads/Transcripts/0%20-%20Government/USA%20-%20NASA%20Kennedy/2019 05 15 - NASA's Kennedy Space Center - Safety a Top Priority of NASA's Commercial Crew Program_dDMxBg4RWko - transcript (automated).pdf","Transcript Link")</f>
        <v>Transcript Link</v>
      </c>
    </row>
    <row r="395" ht="180" spans="1:13">
      <c r="A395" s="1" t="s">
        <v>1836</v>
      </c>
      <c r="B395" s="1" t="s">
        <v>13</v>
      </c>
      <c r="C395" s="4" t="s">
        <v>1837</v>
      </c>
      <c r="D395" s="1" t="s">
        <v>1838</v>
      </c>
      <c r="E395" s="1" t="s">
        <v>1839</v>
      </c>
      <c r="F395" s="4" t="s">
        <v>17</v>
      </c>
      <c r="G395" s="1" t="s">
        <v>18</v>
      </c>
      <c r="H395" s="1" t="s">
        <v>19</v>
      </c>
      <c r="I395" s="1" t="s">
        <v>20</v>
      </c>
      <c r="J395" s="1" t="s">
        <v>1840</v>
      </c>
      <c r="K395" s="1" t="s">
        <v>22</v>
      </c>
      <c r="L395" s="1" t="str">
        <f>HYPERLINK("https://files.afu.se/Downloads/Transcripts/0%20-%20Government/USA%20-%20NASA%20Kennedy/2019 05 10 - NASA's Kennedy Space Center - Inside KSC! May 10, 2019_enDHztdUpeY - transcript (automated).pdf","Transcript Link")</f>
        <v>Transcript Link</v>
      </c>
      <c r="M395" s="2" t="str">
        <f>HYPERLINK("https://files.afu.se/Downloads/Transcripts/0%20-%20Government/USA%20-%20NASA%20Kennedy/2019 05 10 - NASA's Kennedy Space Center - Inside KSC! May 10, 2019_enDHztdUpeY - transcript (automated).pdf","Transcript Link")</f>
        <v>Transcript Link</v>
      </c>
    </row>
    <row r="396" ht="180" spans="1:13">
      <c r="A396" s="1" t="s">
        <v>1841</v>
      </c>
      <c r="B396" s="1" t="s">
        <v>13</v>
      </c>
      <c r="C396" s="4" t="s">
        <v>1842</v>
      </c>
      <c r="D396" s="1" t="s">
        <v>1843</v>
      </c>
      <c r="E396" s="1" t="s">
        <v>1844</v>
      </c>
      <c r="F396" s="4" t="s">
        <v>17</v>
      </c>
      <c r="G396" s="1" t="s">
        <v>18</v>
      </c>
      <c r="H396" s="1" t="s">
        <v>19</v>
      </c>
      <c r="I396" s="1" t="s">
        <v>20</v>
      </c>
      <c r="J396" s="1" t="s">
        <v>1845</v>
      </c>
      <c r="K396" s="1" t="s">
        <v>22</v>
      </c>
      <c r="L396" s="1" t="str">
        <f>HYPERLINK("https://files.afu.se/Downloads/Transcripts/0%20-%20Government/USA%20-%20NASA%20Kennedy/2019 05 09 - NASA's Kennedy Space Center - Explore Kennedy Space Center  Crawler_7GAFn4JzyO0 - transcript (automated).pdf","Transcript Link")</f>
        <v>Transcript Link</v>
      </c>
      <c r="M396" s="2" t="str">
        <f>HYPERLINK("https://files.afu.se/Downloads/Transcripts/0%20-%20Government/USA%20-%20NASA%20Kennedy/2019 05 09 - NASA's Kennedy Space Center - Explore Kennedy Space Center  Crawler_7GAFn4JzyO0 - transcript (automated).pdf","Transcript Link")</f>
        <v>Transcript Link</v>
      </c>
    </row>
    <row r="397" ht="180" spans="1:13">
      <c r="A397" s="1" t="s">
        <v>1846</v>
      </c>
      <c r="B397" s="1" t="s">
        <v>13</v>
      </c>
      <c r="C397" s="4" t="s">
        <v>1847</v>
      </c>
      <c r="D397" s="1" t="s">
        <v>1848</v>
      </c>
      <c r="E397" s="1" t="s">
        <v>1849</v>
      </c>
      <c r="F397" s="4" t="s">
        <v>17</v>
      </c>
      <c r="G397" s="1" t="s">
        <v>18</v>
      </c>
      <c r="H397" s="1" t="s">
        <v>19</v>
      </c>
      <c r="I397" s="1" t="s">
        <v>20</v>
      </c>
      <c r="J397" s="1" t="s">
        <v>1850</v>
      </c>
      <c r="K397" s="1" t="s">
        <v>22</v>
      </c>
      <c r="L397" s="1" t="str">
        <f>HYPERLINK("https://files.afu.se/Downloads/Transcripts/0%20-%20Government/USA%20-%20NASA%20Kennedy/2019 05 04 - NASA's Kennedy Space Center - SpaceX CRS-17 Dragon Solar Arrays Deployed_fUJQ1tXyTPs - transcript (automated).pdf","Transcript Link")</f>
        <v>Transcript Link</v>
      </c>
      <c r="M397" s="2" t="str">
        <f>HYPERLINK("https://files.afu.se/Downloads/Transcripts/0%20-%20Government/USA%20-%20NASA%20Kennedy/2019 05 04 - NASA's Kennedy Space Center - SpaceX CRS-17 Dragon Solar Arrays Deployed_fUJQ1tXyTPs - transcript (automated).pdf","Transcript Link")</f>
        <v>Transcript Link</v>
      </c>
    </row>
    <row r="398" ht="180" spans="1:13">
      <c r="A398" s="1" t="s">
        <v>1846</v>
      </c>
      <c r="B398" s="1" t="s">
        <v>13</v>
      </c>
      <c r="C398" s="4" t="s">
        <v>1851</v>
      </c>
      <c r="D398" s="1" t="s">
        <v>1852</v>
      </c>
      <c r="E398" s="1" t="s">
        <v>1853</v>
      </c>
      <c r="F398" s="4" t="s">
        <v>17</v>
      </c>
      <c r="G398" s="1" t="s">
        <v>18</v>
      </c>
      <c r="H398" s="1" t="s">
        <v>19</v>
      </c>
      <c r="I398" s="1" t="s">
        <v>20</v>
      </c>
      <c r="J398" s="1" t="s">
        <v>1854</v>
      </c>
      <c r="K398" s="1" t="s">
        <v>22</v>
      </c>
      <c r="L398" s="1" t="str">
        <f>HYPERLINK("https://files.afu.se/Downloads/Transcripts/0%20-%20Government/USA%20-%20NASA%20Kennedy/2019 05 04 - NASA's Kennedy Space Center - SpaceX CRS-17 Dragon Spacecraft Separation_bim4HgqKC2M - transcript (automated).pdf","Transcript Link")</f>
        <v>Transcript Link</v>
      </c>
      <c r="M398" s="2" t="str">
        <f>HYPERLINK("https://files.afu.se/Downloads/Transcripts/0%20-%20Government/USA%20-%20NASA%20Kennedy/2019 05 04 - NASA's Kennedy Space Center - SpaceX CRS-17 Dragon Spacecraft Separation_bim4HgqKC2M - transcript (automated).pdf","Transcript Link")</f>
        <v>Transcript Link</v>
      </c>
    </row>
    <row r="399" ht="180" spans="1:13">
      <c r="A399" s="1" t="s">
        <v>1846</v>
      </c>
      <c r="B399" s="1" t="s">
        <v>13</v>
      </c>
      <c r="C399" s="4" t="s">
        <v>1855</v>
      </c>
      <c r="D399" s="1" t="s">
        <v>1856</v>
      </c>
      <c r="E399" s="1" t="s">
        <v>1857</v>
      </c>
      <c r="F399" s="4" t="s">
        <v>17</v>
      </c>
      <c r="G399" s="1" t="s">
        <v>18</v>
      </c>
      <c r="H399" s="1" t="s">
        <v>19</v>
      </c>
      <c r="I399" s="1" t="s">
        <v>20</v>
      </c>
      <c r="J399" s="1" t="s">
        <v>1858</v>
      </c>
      <c r="K399" s="1" t="s">
        <v>22</v>
      </c>
      <c r="L399" s="1" t="str">
        <f>HYPERLINK("https://files.afu.se/Downloads/Transcripts/0%20-%20Government/USA%20-%20NASA%20Kennedy/2019 05 04 - NASA's Kennedy Space Center - SpaceX Falcon 9 with Dragon Spacecraft Onboard Launches on CRS-17_g5tWIbOnwYY - transcript (automated).pdf","Transcript Link")</f>
        <v>Transcript Link</v>
      </c>
      <c r="M399" s="2" t="str">
        <f>HYPERLINK("https://files.afu.se/Downloads/Transcripts/0%20-%20Government/USA%20-%20NASA%20Kennedy/2019 05 04 - NASA's Kennedy Space Center - SpaceX Falcon 9 with Dragon Spacecraft Onboard Launches on CRS-17_g5tWIbOnwYY - transcript (automated).pdf","Transcript Link")</f>
        <v>Transcript Link</v>
      </c>
    </row>
    <row r="400" ht="180" spans="1:13">
      <c r="A400" s="1" t="s">
        <v>1846</v>
      </c>
      <c r="B400" s="1" t="s">
        <v>13</v>
      </c>
      <c r="C400" s="4" t="s">
        <v>1859</v>
      </c>
      <c r="D400" s="1" t="s">
        <v>1860</v>
      </c>
      <c r="E400" s="1" t="s">
        <v>1861</v>
      </c>
      <c r="F400" s="4" t="s">
        <v>17</v>
      </c>
      <c r="G400" s="1" t="s">
        <v>18</v>
      </c>
      <c r="H400" s="1" t="s">
        <v>19</v>
      </c>
      <c r="I400" s="1" t="s">
        <v>20</v>
      </c>
      <c r="J400" s="1" t="s">
        <v>1862</v>
      </c>
      <c r="K400" s="1" t="s">
        <v>22</v>
      </c>
      <c r="L400" s="1" t="str">
        <f>HYPERLINK("https://files.afu.se/Downloads/Transcripts/0%20-%20Government/USA%20-%20NASA%20Kennedy/2019 05 04 - NASA's Kennedy Space Center - Prelaunch Broadcast Begins for Second Attempt of SpaceX CRS-17 Launch_LAaIxR1zwvc - transcript (automated).pdf","Transcript Link")</f>
        <v>Transcript Link</v>
      </c>
      <c r="M400" s="2" t="str">
        <f>HYPERLINK("https://files.afu.se/Downloads/Transcripts/0%20-%20Government/USA%20-%20NASA%20Kennedy/2019 05 04 - NASA's Kennedy Space Center - Prelaunch Broadcast Begins for Second Attempt of SpaceX CRS-17 Launch_LAaIxR1zwvc - transcript (automated).pdf","Transcript Link")</f>
        <v>Transcript Link</v>
      </c>
    </row>
    <row r="401" ht="180" spans="1:13">
      <c r="A401" s="1" t="s">
        <v>1863</v>
      </c>
      <c r="B401" s="1" t="s">
        <v>13</v>
      </c>
      <c r="C401" s="4" t="s">
        <v>1864</v>
      </c>
      <c r="D401" s="1" t="s">
        <v>1865</v>
      </c>
      <c r="E401" s="1" t="s">
        <v>1866</v>
      </c>
      <c r="F401" s="4" t="s">
        <v>17</v>
      </c>
      <c r="G401" s="1" t="s">
        <v>18</v>
      </c>
      <c r="H401" s="1" t="s">
        <v>19</v>
      </c>
      <c r="I401" s="1" t="s">
        <v>20</v>
      </c>
      <c r="J401" s="1" t="s">
        <v>1867</v>
      </c>
      <c r="K401" s="1" t="s">
        <v>22</v>
      </c>
      <c r="L401" s="1" t="str">
        <f>HYPERLINK("https://files.afu.se/Downloads/Transcripts/0%20-%20Government/USA%20-%20NASA%20Kennedy/2019 05 03 - NASA's Kennedy Space Center - Inside KSC! for May 3, 2019_aEpY0dF0hUA - transcript (automated).pdf","Transcript Link")</f>
        <v>Transcript Link</v>
      </c>
      <c r="M401" s="2" t="str">
        <f>HYPERLINK("https://files.afu.se/Downloads/Transcripts/0%20-%20Government/USA%20-%20NASA%20Kennedy/2019 05 03 - NASA's Kennedy Space Center - Inside KSC! for May 3, 2019_aEpY0dF0hUA - transcript (automated).pdf","Transcript Link")</f>
        <v>Transcript Link</v>
      </c>
    </row>
    <row r="402" ht="180" spans="1:13">
      <c r="A402" s="1" t="s">
        <v>1868</v>
      </c>
      <c r="B402" s="1" t="s">
        <v>13</v>
      </c>
      <c r="C402" s="4" t="s">
        <v>1869</v>
      </c>
      <c r="D402" s="1" t="s">
        <v>1870</v>
      </c>
      <c r="E402" s="1" t="s">
        <v>1871</v>
      </c>
      <c r="F402" s="4" t="s">
        <v>17</v>
      </c>
      <c r="G402" s="1" t="s">
        <v>18</v>
      </c>
      <c r="H402" s="1" t="s">
        <v>19</v>
      </c>
      <c r="I402" s="1" t="s">
        <v>20</v>
      </c>
      <c r="J402" s="1" t="s">
        <v>1872</v>
      </c>
      <c r="K402" s="1" t="s">
        <v>22</v>
      </c>
      <c r="L402" s="1" t="str">
        <f>HYPERLINK("https://files.afu.se/Downloads/Transcripts/0%20-%20Government/USA%20-%20NASA%20Kennedy/2019 05 01 - NASA's Kennedy Space Center - Exploration Research and Technology Spotlight on Daren Etienne_2VPdLydFGwk - transcript (automated).pdf","Transcript Link")</f>
        <v>Transcript Link</v>
      </c>
      <c r="M402" s="2" t="str">
        <f>HYPERLINK("https://files.afu.se/Downloads/Transcripts/0%20-%20Government/USA%20-%20NASA%20Kennedy/2019 05 01 - NASA's Kennedy Space Center - Exploration Research and Technology Spotlight on Daren Etienne_2VPdLydFGwk - transcript (automated).pdf","Transcript Link")</f>
        <v>Transcript Link</v>
      </c>
    </row>
    <row r="403" ht="180" spans="1:13">
      <c r="A403" s="1" t="s">
        <v>1873</v>
      </c>
      <c r="B403" s="1" t="s">
        <v>13</v>
      </c>
      <c r="C403" s="4" t="s">
        <v>1874</v>
      </c>
      <c r="D403" s="1" t="s">
        <v>1875</v>
      </c>
      <c r="E403" s="1" t="s">
        <v>1876</v>
      </c>
      <c r="F403" s="4" t="s">
        <v>17</v>
      </c>
      <c r="G403" s="1" t="s">
        <v>18</v>
      </c>
      <c r="H403" s="1" t="s">
        <v>19</v>
      </c>
      <c r="I403" s="1" t="s">
        <v>20</v>
      </c>
      <c r="J403" s="1" t="s">
        <v>1877</v>
      </c>
      <c r="K403" s="1" t="s">
        <v>22</v>
      </c>
      <c r="L403" s="1" t="str">
        <f>HYPERLINK("https://files.afu.se/Downloads/Transcripts/0%20-%20Government/USA%20-%20NASA%20Kennedy/2019 04 26 - NASA's Kennedy Space Center - Inside KSC! April 26, 2019_mP697nB5DzE - transcript (automated).pdf","Transcript Link")</f>
        <v>Transcript Link</v>
      </c>
      <c r="M403" s="2" t="str">
        <f>HYPERLINK("https://files.afu.se/Downloads/Transcripts/0%20-%20Government/USA%20-%20NASA%20Kennedy/2019 04 26 - NASA's Kennedy Space Center - Inside KSC! April 26, 2019_mP697nB5DzE - transcript (automated).pdf","Transcript Link")</f>
        <v>Transcript Link</v>
      </c>
    </row>
    <row r="404" ht="225" spans="1:13">
      <c r="A404" s="1" t="s">
        <v>1878</v>
      </c>
      <c r="B404" s="1" t="s">
        <v>13</v>
      </c>
      <c r="C404" s="4" t="s">
        <v>1879</v>
      </c>
      <c r="D404" s="1" t="s">
        <v>1880</v>
      </c>
      <c r="E404" s="1" t="s">
        <v>1881</v>
      </c>
      <c r="F404" s="4" t="s">
        <v>17</v>
      </c>
      <c r="G404" s="1" t="s">
        <v>18</v>
      </c>
      <c r="H404" s="1" t="s">
        <v>19</v>
      </c>
      <c r="I404" s="1" t="s">
        <v>20</v>
      </c>
      <c r="J404" s="1" t="s">
        <v>1882</v>
      </c>
      <c r="K404" s="1" t="s">
        <v>22</v>
      </c>
      <c r="L404" s="1" t="str">
        <f>HYPERLINK("https://files.afu.se/Downloads/Transcripts/0%20-%20Government/USA%20-%20NASA%20Kennedy/2019 04 25 - NASA's Kennedy Space Center - NASA's ELaNa-19  Small Satellites, Big Dreams_wj-bLgOhAaM - transcript (automated).pdf","Transcript Link")</f>
        <v>Transcript Link</v>
      </c>
      <c r="M404" s="2" t="str">
        <f>HYPERLINK("https://files.afu.se/Downloads/Transcripts/0%20-%20Government/USA%20-%20NASA%20Kennedy/2019 04 25 - NASA's Kennedy Space Center - NASA's ELaNa-19  Small Satellites, Big Dreams_wj-bLgOhAaM - transcript (automated).pdf","Transcript Link")</f>
        <v>Transcript Link</v>
      </c>
    </row>
    <row r="405" ht="180" spans="1:13">
      <c r="A405" s="1" t="s">
        <v>1883</v>
      </c>
      <c r="B405" s="1" t="s">
        <v>13</v>
      </c>
      <c r="C405" s="4" t="s">
        <v>1884</v>
      </c>
      <c r="D405" s="1" t="s">
        <v>1885</v>
      </c>
      <c r="E405" s="1" t="s">
        <v>1886</v>
      </c>
      <c r="F405" s="4" t="s">
        <v>17</v>
      </c>
      <c r="G405" s="1" t="s">
        <v>18</v>
      </c>
      <c r="H405" s="1" t="s">
        <v>19</v>
      </c>
      <c r="I405" s="1" t="s">
        <v>20</v>
      </c>
      <c r="J405" s="1" t="s">
        <v>1887</v>
      </c>
      <c r="K405" s="1" t="s">
        <v>22</v>
      </c>
      <c r="L405" s="1" t="str">
        <f>HYPERLINK("https://files.afu.se/Downloads/Transcripts/0%20-%20Government/USA%20-%20NASA%20Kennedy/2019 04 22 - NASA's Kennedy Space Center - NASA KSC Earth Day Message_GYIkDBebyvg - transcript (automated).pdf","Transcript Link")</f>
        <v>Transcript Link</v>
      </c>
      <c r="M405" s="2" t="str">
        <f>HYPERLINK("https://files.afu.se/Downloads/Transcripts/0%20-%20Government/USA%20-%20NASA%20Kennedy/2019 04 22 - NASA's Kennedy Space Center - NASA KSC Earth Day Message_GYIkDBebyvg - transcript (automated).pdf","Transcript Link")</f>
        <v>Transcript Link</v>
      </c>
    </row>
    <row r="406" ht="180" spans="1:13">
      <c r="A406" s="1" t="s">
        <v>1888</v>
      </c>
      <c r="B406" s="1" t="s">
        <v>13</v>
      </c>
      <c r="C406" s="4" t="s">
        <v>1889</v>
      </c>
      <c r="D406" s="1" t="s">
        <v>1890</v>
      </c>
      <c r="E406" s="1" t="s">
        <v>1891</v>
      </c>
      <c r="F406" s="4" t="s">
        <v>17</v>
      </c>
      <c r="G406" s="1" t="s">
        <v>18</v>
      </c>
      <c r="H406" s="1" t="s">
        <v>19</v>
      </c>
      <c r="I406" s="1" t="s">
        <v>20</v>
      </c>
      <c r="J406" s="1" t="s">
        <v>1892</v>
      </c>
      <c r="K406" s="1" t="s">
        <v>22</v>
      </c>
      <c r="L406" s="1" t="str">
        <f>HYPERLINK("https://files.afu.se/Downloads/Transcripts/0%20-%20Government/USA%20-%20NASA%20Kennedy/2019 04 19 - NASA's Kennedy Space Center - Inside KSC! April 19, 2019_wRiS_rhYZro - transcript (automated).pdf","Transcript Link")</f>
        <v>Transcript Link</v>
      </c>
      <c r="M406" s="2" t="str">
        <f>HYPERLINK("https://files.afu.se/Downloads/Transcripts/0%20-%20Government/USA%20-%20NASA%20Kennedy/2019 04 19 - NASA's Kennedy Space Center - Inside KSC! April 19, 2019_wRiS_rhYZro - transcript (automated).pdf","Transcript Link")</f>
        <v>Transcript Link</v>
      </c>
    </row>
    <row r="407" ht="180" spans="1:13">
      <c r="A407" s="1" t="s">
        <v>1893</v>
      </c>
      <c r="B407" s="1" t="s">
        <v>13</v>
      </c>
      <c r="C407" s="4" t="s">
        <v>1894</v>
      </c>
      <c r="D407" s="1" t="s">
        <v>1895</v>
      </c>
      <c r="E407" s="1" t="s">
        <v>1896</v>
      </c>
      <c r="F407" s="4" t="s">
        <v>17</v>
      </c>
      <c r="G407" s="1" t="s">
        <v>18</v>
      </c>
      <c r="H407" s="1" t="s">
        <v>19</v>
      </c>
      <c r="I407" s="1" t="s">
        <v>20</v>
      </c>
      <c r="J407" s="1" t="s">
        <v>1897</v>
      </c>
      <c r="K407" s="1" t="s">
        <v>22</v>
      </c>
      <c r="L407" s="1" t="str">
        <f>HYPERLINK("https://files.afu.se/Downloads/Transcripts/0%20-%20Government/USA%20-%20NASA%20Kennedy/2019 04 18 - NASA's Kennedy Space Center - Gateway at Kennedy Space Center_nG_SHTY_zdY - transcript (automated).pdf","Transcript Link")</f>
        <v>Transcript Link</v>
      </c>
      <c r="M407" s="2" t="str">
        <f>HYPERLINK("https://files.afu.se/Downloads/Transcripts/0%20-%20Government/USA%20-%20NASA%20Kennedy/2019 04 18 - NASA's Kennedy Space Center - Gateway at Kennedy Space Center_nG_SHTY_zdY - transcript (automated).pdf","Transcript Link")</f>
        <v>Transcript Link</v>
      </c>
    </row>
    <row r="408" ht="180" spans="1:13">
      <c r="A408" s="1" t="s">
        <v>1898</v>
      </c>
      <c r="B408" s="1" t="s">
        <v>13</v>
      </c>
      <c r="C408" s="4" t="s">
        <v>1899</v>
      </c>
      <c r="D408" s="1" t="s">
        <v>1900</v>
      </c>
      <c r="E408" s="1" t="s">
        <v>1901</v>
      </c>
      <c r="F408" s="4" t="s">
        <v>17</v>
      </c>
      <c r="G408" s="1" t="s">
        <v>18</v>
      </c>
      <c r="H408" s="1" t="s">
        <v>19</v>
      </c>
      <c r="I408" s="1" t="s">
        <v>20</v>
      </c>
      <c r="J408" s="1" t="s">
        <v>1902</v>
      </c>
      <c r="K408" s="1" t="s">
        <v>22</v>
      </c>
      <c r="L408" s="1" t="str">
        <f>HYPERLINK("https://files.afu.se/Downloads/Transcripts/0%20-%20Government/USA%20-%20NASA%20Kennedy/2019 04 12 - NASA's Kennedy Space Center - Inside KSC! April 12, 2019_Cx8Dd9YQmm4 - transcript (automated).pdf","Transcript Link")</f>
        <v>Transcript Link</v>
      </c>
      <c r="M408" s="2" t="str">
        <f>HYPERLINK("https://files.afu.se/Downloads/Transcripts/0%20-%20Government/USA%20-%20NASA%20Kennedy/2019 04 12 - NASA's Kennedy Space Center - Inside KSC! April 12, 2019_Cx8Dd9YQmm4 - transcript (automated).pdf","Transcript Link")</f>
        <v>Transcript Link</v>
      </c>
    </row>
    <row r="409" ht="180" spans="1:13">
      <c r="A409" s="1" t="s">
        <v>1903</v>
      </c>
      <c r="B409" s="1" t="s">
        <v>13</v>
      </c>
      <c r="C409" s="4" t="s">
        <v>1904</v>
      </c>
      <c r="D409" s="1" t="s">
        <v>1905</v>
      </c>
      <c r="E409" s="1" t="s">
        <v>1906</v>
      </c>
      <c r="F409" s="4" t="s">
        <v>17</v>
      </c>
      <c r="G409" s="1" t="s">
        <v>18</v>
      </c>
      <c r="H409" s="1" t="s">
        <v>19</v>
      </c>
      <c r="I409" s="1" t="s">
        <v>20</v>
      </c>
      <c r="J409" s="1" t="s">
        <v>1907</v>
      </c>
      <c r="K409" s="1" t="s">
        <v>22</v>
      </c>
      <c r="L409" s="1" t="str">
        <f>HYPERLINK("https://files.afu.se/Downloads/Transcripts/0%20-%20Government/USA%20-%20NASA%20Kennedy/2019 04 06 - NASA's Kennedy Space Center - 2019 Astronaut Hall of Fame Induction Ceremony_bYuxNoSMZ2w - transcript (automated).pdf","Transcript Link")</f>
        <v>Transcript Link</v>
      </c>
      <c r="M409" s="2" t="str">
        <f>HYPERLINK("https://files.afu.se/Downloads/Transcripts/0%20-%20Government/USA%20-%20NASA%20Kennedy/2019 04 06 - NASA's Kennedy Space Center - 2019 Astronaut Hall of Fame Induction Ceremony_bYuxNoSMZ2w - transcript (automated).pdf","Transcript Link")</f>
        <v>Transcript Link</v>
      </c>
    </row>
    <row r="410" ht="180" spans="1:13">
      <c r="A410" s="1" t="s">
        <v>1908</v>
      </c>
      <c r="B410" s="1" t="s">
        <v>13</v>
      </c>
      <c r="C410" s="4" t="s">
        <v>1909</v>
      </c>
      <c r="D410" s="1" t="s">
        <v>1910</v>
      </c>
      <c r="E410" s="1" t="s">
        <v>1911</v>
      </c>
      <c r="F410" s="4" t="s">
        <v>17</v>
      </c>
      <c r="G410" s="1" t="s">
        <v>18</v>
      </c>
      <c r="H410" s="1" t="s">
        <v>19</v>
      </c>
      <c r="I410" s="1" t="s">
        <v>20</v>
      </c>
      <c r="J410" s="1" t="s">
        <v>1912</v>
      </c>
      <c r="K410" s="1" t="s">
        <v>22</v>
      </c>
      <c r="L410" s="1" t="str">
        <f>HYPERLINK("https://files.afu.se/Downloads/Transcripts/0%20-%20Government/USA%20-%20NASA%20Kennedy/2019 04 05 - NASA's Kennedy Space Center - Rocket Ranch Podcast Episode 9  Developing Technology_nTyK2OiRmN8 - transcript (automated).pdf","Transcript Link")</f>
        <v>Transcript Link</v>
      </c>
      <c r="M410" s="2" t="str">
        <f>HYPERLINK("https://files.afu.se/Downloads/Transcripts/0%20-%20Government/USA%20-%20NASA%20Kennedy/2019 04 05 - NASA's Kennedy Space Center - Rocket Ranch Podcast Episode 9  Developing Technology_nTyK2OiRmN8 - transcript (automated).pdf","Transcript Link")</f>
        <v>Transcript Link</v>
      </c>
    </row>
    <row r="411" ht="180" spans="1:13">
      <c r="A411" s="1" t="s">
        <v>1908</v>
      </c>
      <c r="B411" s="1" t="s">
        <v>13</v>
      </c>
      <c r="C411" s="4" t="s">
        <v>1913</v>
      </c>
      <c r="D411" s="1" t="s">
        <v>1914</v>
      </c>
      <c r="E411" s="1" t="s">
        <v>1915</v>
      </c>
      <c r="F411" s="4" t="s">
        <v>17</v>
      </c>
      <c r="G411" s="1" t="s">
        <v>18</v>
      </c>
      <c r="H411" s="1" t="s">
        <v>19</v>
      </c>
      <c r="I411" s="1" t="s">
        <v>20</v>
      </c>
      <c r="J411" s="1" t="s">
        <v>1916</v>
      </c>
      <c r="K411" s="1" t="s">
        <v>22</v>
      </c>
      <c r="L411" s="1" t="str">
        <f>HYPERLINK("https://files.afu.se/Downloads/Transcripts/0%20-%20Government/USA%20-%20NASA%20Kennedy/2019 04 05 - NASA's Kennedy Space Center - Inside KSC! April 5, 2019_NP-aQNZCHrE - transcript (automated).pdf","Transcript Link")</f>
        <v>Transcript Link</v>
      </c>
      <c r="M411" s="2" t="str">
        <f>HYPERLINK("https://files.afu.se/Downloads/Transcripts/0%20-%20Government/USA%20-%20NASA%20Kennedy/2019 04 05 - NASA's Kennedy Space Center - Inside KSC! April 5, 2019_NP-aQNZCHrE - transcript (automated).pdf","Transcript Link")</f>
        <v>Transcript Link</v>
      </c>
    </row>
    <row r="412" ht="180" spans="1:13">
      <c r="A412" s="1" t="s">
        <v>1917</v>
      </c>
      <c r="B412" s="1" t="s">
        <v>13</v>
      </c>
      <c r="C412" s="4" t="s">
        <v>1918</v>
      </c>
      <c r="D412" s="1" t="s">
        <v>1919</v>
      </c>
      <c r="E412" s="1" t="s">
        <v>1920</v>
      </c>
      <c r="F412" s="4" t="s">
        <v>17</v>
      </c>
      <c r="G412" s="1" t="s">
        <v>18</v>
      </c>
      <c r="H412" s="1" t="s">
        <v>19</v>
      </c>
      <c r="I412" s="1" t="s">
        <v>20</v>
      </c>
      <c r="J412" s="1" t="s">
        <v>1921</v>
      </c>
      <c r="K412" s="1" t="s">
        <v>22</v>
      </c>
      <c r="L412" s="1" t="str">
        <f>HYPERLINK("https://files.afu.se/Downloads/Transcripts/0%20-%20Government/USA%20-%20NASA%20Kennedy/2019 04 03 - NASA's Kennedy Space Center - Explore Kennedy Space Center  Plant Research Lab_LcBdovHgwaE - transcript (automated).pdf","Transcript Link")</f>
        <v>Transcript Link</v>
      </c>
      <c r="M412" s="2" t="str">
        <f>HYPERLINK("https://files.afu.se/Downloads/Transcripts/0%20-%20Government/USA%20-%20NASA%20Kennedy/2019 04 03 - NASA's Kennedy Space Center - Explore Kennedy Space Center  Plant Research Lab_LcBdovHgwaE - transcript (automated).pdf","Transcript Link")</f>
        <v>Transcript Link</v>
      </c>
    </row>
    <row r="413" ht="180" spans="1:13">
      <c r="A413" s="1" t="s">
        <v>1922</v>
      </c>
      <c r="B413" s="1" t="s">
        <v>13</v>
      </c>
      <c r="C413" s="4" t="s">
        <v>1923</v>
      </c>
      <c r="D413" s="1" t="s">
        <v>1924</v>
      </c>
      <c r="E413" s="1" t="s">
        <v>1925</v>
      </c>
      <c r="F413" s="4" t="s">
        <v>17</v>
      </c>
      <c r="G413" s="1" t="s">
        <v>18</v>
      </c>
      <c r="H413" s="1" t="s">
        <v>19</v>
      </c>
      <c r="I413" s="1" t="s">
        <v>20</v>
      </c>
      <c r="J413" s="1" t="s">
        <v>1926</v>
      </c>
      <c r="K413" s="1" t="s">
        <v>22</v>
      </c>
      <c r="L413" s="1" t="str">
        <f>HYPERLINK("https://files.afu.se/Downloads/Transcripts/0%20-%20Government/USA%20-%20NASA%20Kennedy/2019 04 02 - NASA's Kennedy Space Center - 2019 Director's Update - Kennedy Space Center_ppNFTk-XNxY - transcript (automated).pdf","Transcript Link")</f>
        <v>Transcript Link</v>
      </c>
      <c r="M413" s="2" t="str">
        <f>HYPERLINK("https://files.afu.se/Downloads/Transcripts/0%20-%20Government/USA%20-%20NASA%20Kennedy/2019 04 02 - NASA's Kennedy Space Center - 2019 Director's Update - Kennedy Space Center_ppNFTk-XNxY - transcript (automated).pdf","Transcript Link")</f>
        <v>Transcript Link</v>
      </c>
    </row>
    <row r="414" ht="180" spans="1:13">
      <c r="A414" s="1" t="s">
        <v>1927</v>
      </c>
      <c r="B414" s="1" t="s">
        <v>13</v>
      </c>
      <c r="C414" s="4" t="s">
        <v>1928</v>
      </c>
      <c r="D414" s="1" t="s">
        <v>1929</v>
      </c>
      <c r="E414" s="1" t="s">
        <v>1930</v>
      </c>
      <c r="F414" s="4" t="s">
        <v>17</v>
      </c>
      <c r="G414" s="1" t="s">
        <v>18</v>
      </c>
      <c r="H414" s="1" t="s">
        <v>19</v>
      </c>
      <c r="I414" s="1" t="s">
        <v>20</v>
      </c>
      <c r="J414" s="1" t="s">
        <v>1931</v>
      </c>
      <c r="K414" s="1" t="s">
        <v>22</v>
      </c>
      <c r="L414" s="1" t="str">
        <f>HYPERLINK("https://files.afu.se/Downloads/Transcripts/0%20-%20Government/USA%20-%20NASA%20Kennedy/2019 03 29 - NASA's Kennedy Space Center - Inside KSC! March 29, 2019_7vh17Z683Mg - transcript (automated).pdf","Transcript Link")</f>
        <v>Transcript Link</v>
      </c>
      <c r="M414" s="2" t="str">
        <f>HYPERLINK("https://files.afu.se/Downloads/Transcripts/0%20-%20Government/USA%20-%20NASA%20Kennedy/2019 03 29 - NASA's Kennedy Space Center - Inside KSC! March 29, 2019_7vh17Z683Mg - transcript (automated).pdf","Transcript Link")</f>
        <v>Transcript Link</v>
      </c>
    </row>
    <row r="415" ht="180" spans="1:13">
      <c r="A415" s="1" t="s">
        <v>1932</v>
      </c>
      <c r="B415" s="1" t="s">
        <v>13</v>
      </c>
      <c r="C415" s="4" t="s">
        <v>1933</v>
      </c>
      <c r="D415" s="1" t="s">
        <v>1934</v>
      </c>
      <c r="E415" s="1" t="s">
        <v>1935</v>
      </c>
      <c r="F415" s="4" t="s">
        <v>17</v>
      </c>
      <c r="G415" s="1" t="s">
        <v>18</v>
      </c>
      <c r="H415" s="1" t="s">
        <v>19</v>
      </c>
      <c r="I415" s="1" t="s">
        <v>20</v>
      </c>
      <c r="J415" s="1" t="s">
        <v>1936</v>
      </c>
      <c r="K415" s="1" t="s">
        <v>22</v>
      </c>
      <c r="L415" s="1" t="str">
        <f>HYPERLINK("https://files.afu.se/Downloads/Transcripts/0%20-%20Government/USA%20-%20NASA%20Kennedy/2019 03 22 - NASA's Kennedy Space Center - Inside KSC! March 22, 2019_kfbIQAPw33c - transcript (automated).pdf","Transcript Link")</f>
        <v>Transcript Link</v>
      </c>
      <c r="M415" s="2" t="str">
        <f>HYPERLINK("https://files.afu.se/Downloads/Transcripts/0%20-%20Government/USA%20-%20NASA%20Kennedy/2019 03 22 - NASA's Kennedy Space Center - Inside KSC! March 22, 2019_kfbIQAPw33c - transcript (automated).pdf","Transcript Link")</f>
        <v>Transcript Link</v>
      </c>
    </row>
    <row r="416" ht="180" spans="1:13">
      <c r="A416" s="1" t="s">
        <v>1932</v>
      </c>
      <c r="B416" s="1" t="s">
        <v>13</v>
      </c>
      <c r="C416" s="4" t="s">
        <v>1937</v>
      </c>
      <c r="D416" s="1" t="s">
        <v>1938</v>
      </c>
      <c r="E416" s="1" t="s">
        <v>1939</v>
      </c>
      <c r="F416" s="4" t="s">
        <v>17</v>
      </c>
      <c r="G416" s="1" t="s">
        <v>18</v>
      </c>
      <c r="H416" s="1" t="s">
        <v>19</v>
      </c>
      <c r="I416" s="1" t="s">
        <v>20</v>
      </c>
      <c r="J416" s="1" t="s">
        <v>1940</v>
      </c>
      <c r="K416" s="1" t="s">
        <v>22</v>
      </c>
      <c r="L416" s="1" t="str">
        <f>HYPERLINK("https://files.afu.se/Downloads/Transcripts/0%20-%20Government/USA%20-%20NASA%20Kennedy/2019 03 22 - NASA's Kennedy Space Center - OSCAR Drop Test_0ZvbB2PhSnY - transcript (automated).pdf","Transcript Link")</f>
        <v>Transcript Link</v>
      </c>
      <c r="M416" s="2" t="str">
        <f>HYPERLINK("https://files.afu.se/Downloads/Transcripts/0%20-%20Government/USA%20-%20NASA%20Kennedy/2019 03 22 - NASA's Kennedy Space Center - OSCAR Drop Test_0ZvbB2PhSnY - transcript (automated).pdf","Transcript Link")</f>
        <v>Transcript Link</v>
      </c>
    </row>
    <row r="417" ht="180" spans="1:13">
      <c r="A417" s="1" t="s">
        <v>1941</v>
      </c>
      <c r="B417" s="1" t="s">
        <v>13</v>
      </c>
      <c r="C417" s="4" t="s">
        <v>1942</v>
      </c>
      <c r="D417" s="1" t="s">
        <v>1943</v>
      </c>
      <c r="E417" s="1" t="s">
        <v>1944</v>
      </c>
      <c r="F417" s="4" t="s">
        <v>17</v>
      </c>
      <c r="G417" s="1" t="s">
        <v>18</v>
      </c>
      <c r="H417" s="1" t="s">
        <v>19</v>
      </c>
      <c r="I417" s="1" t="s">
        <v>20</v>
      </c>
      <c r="J417" s="1" t="s">
        <v>1945</v>
      </c>
      <c r="K417" s="1" t="s">
        <v>22</v>
      </c>
      <c r="L417" s="1" t="str">
        <f>HYPERLINK("https://files.afu.se/Downloads/Transcripts/0%20-%20Government/USA%20-%20NASA%20Kennedy/2019 03 15 - NASA's Kennedy Space Center - Inside KSC! March 15, 2019_p2Jwm56S8uk - transcript (automated).pdf","Transcript Link")</f>
        <v>Transcript Link</v>
      </c>
      <c r="M417" s="2" t="str">
        <f>HYPERLINK("https://files.afu.se/Downloads/Transcripts/0%20-%20Government/USA%20-%20NASA%20Kennedy/2019 03 15 - NASA's Kennedy Space Center - Inside KSC! March 15, 2019_p2Jwm56S8uk - transcript (automated).pdf","Transcript Link")</f>
        <v>Transcript Link</v>
      </c>
    </row>
    <row r="418" ht="180" spans="1:13">
      <c r="A418" s="1" t="s">
        <v>1946</v>
      </c>
      <c r="B418" s="1" t="s">
        <v>13</v>
      </c>
      <c r="C418" s="4" t="s">
        <v>1947</v>
      </c>
      <c r="D418" s="1" t="s">
        <v>1948</v>
      </c>
      <c r="E418" s="1" t="s">
        <v>1949</v>
      </c>
      <c r="F418" s="4" t="s">
        <v>17</v>
      </c>
      <c r="G418" s="1" t="s">
        <v>18</v>
      </c>
      <c r="H418" s="1" t="s">
        <v>19</v>
      </c>
      <c r="I418" s="1" t="s">
        <v>20</v>
      </c>
      <c r="J418" s="1" t="s">
        <v>1950</v>
      </c>
      <c r="K418" s="1" t="s">
        <v>22</v>
      </c>
      <c r="L418" s="1" t="str">
        <f>HYPERLINK("https://files.afu.se/Downloads/Transcripts/0%20-%20Government/USA%20-%20NASA%20Kennedy/2019 03 12 - NASA's Kennedy Space Center - Women Engineers  Carla Koch_YxOpu4vjCO0 - transcript (automated).pdf","Transcript Link")</f>
        <v>Transcript Link</v>
      </c>
      <c r="M418" s="2" t="str">
        <f>HYPERLINK("https://files.afu.se/Downloads/Transcripts/0%20-%20Government/USA%20-%20NASA%20Kennedy/2019 03 12 - NASA's Kennedy Space Center - Women Engineers  Carla Koch_YxOpu4vjCO0 - transcript (automated).pdf","Transcript Link")</f>
        <v>Transcript Link</v>
      </c>
    </row>
    <row r="419" ht="180" spans="1:13">
      <c r="A419" s="1" t="s">
        <v>1951</v>
      </c>
      <c r="B419" s="1" t="s">
        <v>13</v>
      </c>
      <c r="C419" s="4" t="s">
        <v>1952</v>
      </c>
      <c r="D419" s="1" t="s">
        <v>1953</v>
      </c>
      <c r="E419" s="1" t="s">
        <v>1954</v>
      </c>
      <c r="F419" s="4" t="s">
        <v>17</v>
      </c>
      <c r="G419" s="1" t="s">
        <v>18</v>
      </c>
      <c r="H419" s="1" t="s">
        <v>19</v>
      </c>
      <c r="I419" s="1" t="s">
        <v>20</v>
      </c>
      <c r="J419" s="1" t="s">
        <v>1955</v>
      </c>
      <c r="K419" s="1" t="s">
        <v>22</v>
      </c>
      <c r="L419" s="1">
        <v>0</v>
      </c>
      <c r="M419" s="2">
        <v>0</v>
      </c>
    </row>
    <row r="420" ht="180" spans="1:13">
      <c r="A420" s="1" t="s">
        <v>1956</v>
      </c>
      <c r="B420" s="1" t="s">
        <v>13</v>
      </c>
      <c r="C420" s="4" t="s">
        <v>1957</v>
      </c>
      <c r="D420" s="1" t="s">
        <v>1958</v>
      </c>
      <c r="E420" s="1" t="s">
        <v>1959</v>
      </c>
      <c r="F420" s="4" t="s">
        <v>17</v>
      </c>
      <c r="G420" s="1" t="s">
        <v>18</v>
      </c>
      <c r="H420" s="1" t="s">
        <v>19</v>
      </c>
      <c r="I420" s="1" t="s">
        <v>20</v>
      </c>
      <c r="J420" s="1" t="s">
        <v>1960</v>
      </c>
      <c r="K420" s="1" t="s">
        <v>22</v>
      </c>
      <c r="L420" s="1" t="str">
        <f>HYPERLINK("https://files.afu.se/Downloads/Transcripts/0%20-%20Government/USA%20-%20NASA%20Kennedy/2019 03 08 - NASA's Kennedy Space Center - Rocket Ranch Episode 8  Commercial Crew Program_wS_rrISakwM - transcript (automated).pdf","Transcript Link")</f>
        <v>Transcript Link</v>
      </c>
      <c r="M420" s="2" t="str">
        <f>HYPERLINK("https://files.afu.se/Downloads/Transcripts/0%20-%20Government/USA%20-%20NASA%20Kennedy/2019 03 08 - NASA's Kennedy Space Center - Rocket Ranch Episode 8  Commercial Crew Program_wS_rrISakwM - transcript (automated).pdf","Transcript Link")</f>
        <v>Transcript Link</v>
      </c>
    </row>
    <row r="421" ht="180" spans="1:13">
      <c r="A421" s="1" t="s">
        <v>1956</v>
      </c>
      <c r="B421" s="1" t="s">
        <v>13</v>
      </c>
      <c r="C421" s="4" t="s">
        <v>1961</v>
      </c>
      <c r="D421" s="1" t="s">
        <v>1962</v>
      </c>
      <c r="E421" s="1" t="s">
        <v>1963</v>
      </c>
      <c r="F421" s="4" t="s">
        <v>17</v>
      </c>
      <c r="G421" s="1" t="s">
        <v>18</v>
      </c>
      <c r="H421" s="1" t="s">
        <v>19</v>
      </c>
      <c r="I421" s="1" t="s">
        <v>20</v>
      </c>
      <c r="J421" s="1" t="s">
        <v>1964</v>
      </c>
      <c r="K421" s="1" t="s">
        <v>22</v>
      </c>
      <c r="L421" s="1" t="str">
        <f>HYPERLINK("https://files.afu.se/Downloads/Transcripts/0%20-%20Government/USA%20-%20NASA%20Kennedy/2019 03 08 - NASA's Kennedy Space Center - Inside KSC! March 8, 2019_QBxLnu_ORRQ - transcript (automated).pdf","Transcript Link")</f>
        <v>Transcript Link</v>
      </c>
      <c r="M421" s="2" t="str">
        <f>HYPERLINK("https://files.afu.se/Downloads/Transcripts/0%20-%20Government/USA%20-%20NASA%20Kennedy/2019 03 08 - NASA's Kennedy Space Center - Inside KSC! March 8, 2019_QBxLnu_ORRQ - transcript (automated).pdf","Transcript Link")</f>
        <v>Transcript Link</v>
      </c>
    </row>
    <row r="422" ht="180" spans="1:13">
      <c r="A422" s="1" t="s">
        <v>1956</v>
      </c>
      <c r="B422" s="1" t="s">
        <v>13</v>
      </c>
      <c r="C422" s="4" t="s">
        <v>1965</v>
      </c>
      <c r="D422" s="1" t="s">
        <v>1966</v>
      </c>
      <c r="E422" s="1" t="s">
        <v>1967</v>
      </c>
      <c r="F422" s="4" t="s">
        <v>17</v>
      </c>
      <c r="G422" s="1" t="s">
        <v>18</v>
      </c>
      <c r="H422" s="1" t="s">
        <v>19</v>
      </c>
      <c r="I422" s="1" t="s">
        <v>20</v>
      </c>
      <c r="J422" s="1" t="s">
        <v>1968</v>
      </c>
      <c r="K422" s="1" t="s">
        <v>22</v>
      </c>
      <c r="L422" s="1" t="str">
        <f>HYPERLINK("https://files.afu.se/Downloads/Transcripts/0%20-%20Government/USA%20-%20NASA%20Kennedy/2019 03 08 - NASA's Kennedy Space Center - Inside KSC! Feb. 28, 2019_UGosxzELR4Y - transcript (automated).pdf","Transcript Link")</f>
        <v>Transcript Link</v>
      </c>
      <c r="M422" s="2" t="str">
        <f>HYPERLINK("https://files.afu.se/Downloads/Transcripts/0%20-%20Government/USA%20-%20NASA%20Kennedy/2019 03 08 - NASA's Kennedy Space Center - Inside KSC! Feb. 28, 2019_UGosxzELR4Y - transcript (automated).pdf","Transcript Link")</f>
        <v>Transcript Link</v>
      </c>
    </row>
    <row r="423" ht="180" spans="1:13">
      <c r="A423" s="1" t="s">
        <v>1956</v>
      </c>
      <c r="B423" s="1" t="s">
        <v>13</v>
      </c>
      <c r="C423" s="4" t="s">
        <v>1969</v>
      </c>
      <c r="D423" s="1" t="s">
        <v>1970</v>
      </c>
      <c r="E423" s="1" t="s">
        <v>1971</v>
      </c>
      <c r="F423" s="4" t="s">
        <v>17</v>
      </c>
      <c r="G423" s="1" t="s">
        <v>18</v>
      </c>
      <c r="H423" s="1" t="s">
        <v>19</v>
      </c>
      <c r="I423" s="1" t="s">
        <v>20</v>
      </c>
      <c r="J423" s="1" t="s">
        <v>1972</v>
      </c>
      <c r="K423" s="1" t="s">
        <v>22</v>
      </c>
      <c r="L423" s="1" t="str">
        <f>HYPERLINK("https://files.afu.se/Downloads/Transcripts/0%20-%20Government/USA%20-%20NASA%20Kennedy/2019 03 08 - NASA's Kennedy Space Center - Women Engineers  Courtney Stern_CZQ1RQcb7E8 - transcript (automated).pdf","Transcript Link")</f>
        <v>Transcript Link</v>
      </c>
      <c r="M423" s="2" t="str">
        <f>HYPERLINK("https://files.afu.se/Downloads/Transcripts/0%20-%20Government/USA%20-%20NASA%20Kennedy/2019 03 08 - NASA's Kennedy Space Center - Women Engineers  Courtney Stern_CZQ1RQcb7E8 - transcript (automated).pdf","Transcript Link")</f>
        <v>Transcript Link</v>
      </c>
    </row>
    <row r="424" ht="180" spans="1:13">
      <c r="A424" s="1" t="s">
        <v>1973</v>
      </c>
      <c r="B424" s="1" t="s">
        <v>13</v>
      </c>
      <c r="C424" s="4" t="s">
        <v>1974</v>
      </c>
      <c r="D424" s="1" t="s">
        <v>1975</v>
      </c>
      <c r="E424" s="1" t="s">
        <v>1976</v>
      </c>
      <c r="F424" s="4" t="s">
        <v>17</v>
      </c>
      <c r="G424" s="1" t="s">
        <v>18</v>
      </c>
      <c r="H424" s="1" t="s">
        <v>19</v>
      </c>
      <c r="I424" s="1" t="s">
        <v>20</v>
      </c>
      <c r="J424" s="1" t="s">
        <v>1977</v>
      </c>
      <c r="K424" s="1" t="s">
        <v>22</v>
      </c>
      <c r="L424" s="1" t="str">
        <f>HYPERLINK("https://files.afu.se/Downloads/Transcripts/0%20-%20Government/USA%20-%20NASA%20Kennedy/2019 03 06 - NASA's Kennedy Space Center - Explore Kennedy Space Center  VAB_Qt2mBaZnhyU - transcript (automated).pdf","Transcript Link")</f>
        <v>Transcript Link</v>
      </c>
      <c r="M424" s="2" t="str">
        <f>HYPERLINK("https://files.afu.se/Downloads/Transcripts/0%20-%20Government/USA%20-%20NASA%20Kennedy/2019 03 06 - NASA's Kennedy Space Center - Explore Kennedy Space Center  VAB_Qt2mBaZnhyU - transcript (automated).pdf","Transcript Link")</f>
        <v>Transcript Link</v>
      </c>
    </row>
    <row r="425" ht="180" spans="1:13">
      <c r="A425" s="1" t="s">
        <v>1978</v>
      </c>
      <c r="B425" s="1" t="s">
        <v>13</v>
      </c>
      <c r="C425" s="4" t="s">
        <v>1979</v>
      </c>
      <c r="D425" s="1" t="s">
        <v>1980</v>
      </c>
      <c r="E425" s="1" t="s">
        <v>1981</v>
      </c>
      <c r="F425" s="4" t="s">
        <v>17</v>
      </c>
      <c r="G425" s="1" t="s">
        <v>18</v>
      </c>
      <c r="H425" s="1" t="s">
        <v>19</v>
      </c>
      <c r="I425" s="1" t="s">
        <v>20</v>
      </c>
      <c r="J425" s="1" t="s">
        <v>1982</v>
      </c>
      <c r="K425" s="1" t="s">
        <v>22</v>
      </c>
      <c r="L425" s="1" t="str">
        <f>HYPERLINK("https://files.afu.se/Downloads/Transcripts/0%20-%20Government/USA%20-%20NASA%20Kennedy/2019 03 05 - NASA's Kennedy Space Center - Did You Know  Launch Pad 39B_4IaAyfM9cdE - transcript (automated).pdf","Transcript Link")</f>
        <v>Transcript Link</v>
      </c>
      <c r="M425" s="2" t="str">
        <f>HYPERLINK("https://files.afu.se/Downloads/Transcripts/0%20-%20Government/USA%20-%20NASA%20Kennedy/2019 03 05 - NASA's Kennedy Space Center - Did You Know  Launch Pad 39B_4IaAyfM9cdE - transcript (automated).pdf","Transcript Link")</f>
        <v>Transcript Link</v>
      </c>
    </row>
    <row r="426" ht="180" spans="1:13">
      <c r="A426" s="1" t="s">
        <v>1983</v>
      </c>
      <c r="B426" s="1" t="s">
        <v>13</v>
      </c>
      <c r="C426" s="4" t="s">
        <v>1984</v>
      </c>
      <c r="D426" s="1" t="s">
        <v>1985</v>
      </c>
      <c r="E426" s="1" t="s">
        <v>1986</v>
      </c>
      <c r="F426" s="4" t="s">
        <v>17</v>
      </c>
      <c r="G426" s="1" t="s">
        <v>18</v>
      </c>
      <c r="H426" s="1" t="s">
        <v>19</v>
      </c>
      <c r="I426" s="1" t="s">
        <v>20</v>
      </c>
      <c r="J426" s="1" t="s">
        <v>1987</v>
      </c>
      <c r="K426" s="1" t="s">
        <v>22</v>
      </c>
      <c r="L426" s="1" t="str">
        <f>HYPERLINK("https://files.afu.se/Downloads/Transcripts/0%20-%20Government/USA%20-%20NASA%20Kennedy/2019 03 04 - NASA's Kennedy Space Center - Live Coverage of SpaceX Crew Dragon’s First Launch on Demo-1 Mission_Y8zChtFl4Bc - transcript (automated).pdf","Transcript Link")</f>
        <v>Transcript Link</v>
      </c>
      <c r="M426" s="2" t="str">
        <f>HYPERLINK("https://files.afu.se/Downloads/Transcripts/0%20-%20Government/USA%20-%20NASA%20Kennedy/2019 03 04 - NASA's Kennedy Space Center - Live Coverage of SpaceX Crew Dragon’s First Launch on Demo-1 Mission_Y8zChtFl4Bc - transcript (automated).pdf","Transcript Link")</f>
        <v>Transcript Link</v>
      </c>
    </row>
    <row r="427" ht="180" spans="1:13">
      <c r="A427" s="1" t="s">
        <v>1983</v>
      </c>
      <c r="B427" s="1" t="s">
        <v>13</v>
      </c>
      <c r="C427" s="4" t="s">
        <v>1988</v>
      </c>
      <c r="D427" s="1" t="s">
        <v>1989</v>
      </c>
      <c r="E427" s="1" t="s">
        <v>1990</v>
      </c>
      <c r="F427" s="4" t="s">
        <v>17</v>
      </c>
      <c r="G427" s="1" t="s">
        <v>18</v>
      </c>
      <c r="H427" s="1" t="s">
        <v>19</v>
      </c>
      <c r="I427" s="1" t="s">
        <v>20</v>
      </c>
      <c r="J427" s="1" t="s">
        <v>1991</v>
      </c>
      <c r="K427" s="1" t="s">
        <v>22</v>
      </c>
      <c r="L427" s="1" t="str">
        <f>HYPERLINK("https://files.afu.se/Downloads/Transcripts/0%20-%20Government/USA%20-%20NASA%20Kennedy/2019 03 04 - NASA's Kennedy Space Center - Did You Know  Mobile Launcher_elBjfTppqlw - transcript (automated).pdf","Transcript Link")</f>
        <v>Transcript Link</v>
      </c>
      <c r="M427" s="2" t="str">
        <f>HYPERLINK("https://files.afu.se/Downloads/Transcripts/0%20-%20Government/USA%20-%20NASA%20Kennedy/2019 03 04 - NASA's Kennedy Space Center - Did You Know  Mobile Launcher_elBjfTppqlw - transcript (automated).pdf","Transcript Link")</f>
        <v>Transcript Link</v>
      </c>
    </row>
    <row r="428" ht="180" spans="1:13">
      <c r="A428" s="1" t="s">
        <v>1983</v>
      </c>
      <c r="B428" s="1" t="s">
        <v>13</v>
      </c>
      <c r="C428" s="4" t="s">
        <v>1992</v>
      </c>
      <c r="D428" s="1" t="s">
        <v>1993</v>
      </c>
      <c r="E428" s="1" t="s">
        <v>1994</v>
      </c>
      <c r="F428" s="4" t="s">
        <v>17</v>
      </c>
      <c r="G428" s="1" t="s">
        <v>18</v>
      </c>
      <c r="H428" s="1" t="s">
        <v>19</v>
      </c>
      <c r="I428" s="1" t="s">
        <v>20</v>
      </c>
      <c r="J428" s="1" t="s">
        <v>1995</v>
      </c>
      <c r="K428" s="1" t="s">
        <v>22</v>
      </c>
      <c r="L428" s="1" t="str">
        <f>HYPERLINK("https://files.afu.se/Downloads/Transcripts/0%20-%20Government/USA%20-%20NASA%20Kennedy/2019 03 04 - NASA's Kennedy Space Center - Did You Know  The Launch Control Center_4n4mW2lzaJE - transcript (automated).pdf","Transcript Link")</f>
        <v>Transcript Link</v>
      </c>
      <c r="M428" s="2" t="str">
        <f>HYPERLINK("https://files.afu.se/Downloads/Transcripts/0%20-%20Government/USA%20-%20NASA%20Kennedy/2019 03 04 - NASA's Kennedy Space Center - Did You Know  The Launch Control Center_4n4mW2lzaJE - transcript (automated).pdf","Transcript Link")</f>
        <v>Transcript Link</v>
      </c>
    </row>
    <row r="429" ht="180" spans="1:13">
      <c r="A429" s="1" t="s">
        <v>1996</v>
      </c>
      <c r="B429" s="1" t="s">
        <v>13</v>
      </c>
      <c r="C429" s="4" t="s">
        <v>1997</v>
      </c>
      <c r="D429" s="1" t="s">
        <v>1998</v>
      </c>
      <c r="E429" s="1" t="s">
        <v>1999</v>
      </c>
      <c r="F429" s="4" t="s">
        <v>17</v>
      </c>
      <c r="G429" s="1" t="s">
        <v>18</v>
      </c>
      <c r="H429" s="1" t="s">
        <v>19</v>
      </c>
      <c r="I429" s="1" t="s">
        <v>20</v>
      </c>
      <c r="J429" s="1" t="s">
        <v>2000</v>
      </c>
      <c r="K429" s="1" t="s">
        <v>22</v>
      </c>
      <c r="L429" s="1" t="str">
        <f>HYPERLINK("https://files.afu.se/Downloads/Transcripts/0%20-%20Government/USA%20-%20NASA%20Kennedy/2019 03 02 - NASA's Kennedy Space Center - NASA Administrator Jim Bridenstine Demo-1 Interview_Jn5JaJRHwbQ - transcript (automated).pdf","Transcript Link")</f>
        <v>Transcript Link</v>
      </c>
      <c r="M429" s="2" t="str">
        <f>HYPERLINK("https://files.afu.se/Downloads/Transcripts/0%20-%20Government/USA%20-%20NASA%20Kennedy/2019 03 02 - NASA's Kennedy Space Center - NASA Administrator Jim Bridenstine Demo-1 Interview_Jn5JaJRHwbQ - transcript (automated).pdf","Transcript Link")</f>
        <v>Transcript Link</v>
      </c>
    </row>
    <row r="430" ht="180" spans="1:13">
      <c r="A430" s="1" t="s">
        <v>1996</v>
      </c>
      <c r="B430" s="1" t="s">
        <v>13</v>
      </c>
      <c r="C430" s="4" t="s">
        <v>2001</v>
      </c>
      <c r="D430" s="1" t="s">
        <v>2002</v>
      </c>
      <c r="E430" s="1" t="s">
        <v>2003</v>
      </c>
      <c r="F430" s="4" t="s">
        <v>17</v>
      </c>
      <c r="G430" s="1" t="s">
        <v>18</v>
      </c>
      <c r="H430" s="1" t="s">
        <v>19</v>
      </c>
      <c r="I430" s="1" t="s">
        <v>20</v>
      </c>
      <c r="J430" s="1" t="s">
        <v>2004</v>
      </c>
      <c r="K430" s="1" t="s">
        <v>22</v>
      </c>
      <c r="L430" s="1" t="str">
        <f>HYPERLINK("https://files.afu.se/Downloads/Transcripts/0%20-%20Government/USA%20-%20NASA%20Kennedy/2019 03 02 - NASA's Kennedy Space Center - Crew Dragon Separates from Space X Falcon 9 Second Stage_crjBOXPN9FY - transcript (automated).pdf","Transcript Link")</f>
        <v>Transcript Link</v>
      </c>
      <c r="M430" s="2" t="str">
        <f>HYPERLINK("https://files.afu.se/Downloads/Transcripts/0%20-%20Government/USA%20-%20NASA%20Kennedy/2019 03 02 - NASA's Kennedy Space Center - Crew Dragon Separates from Space X Falcon 9 Second Stage_crjBOXPN9FY - transcript (automated).pdf","Transcript Link")</f>
        <v>Transcript Link</v>
      </c>
    </row>
    <row r="431" ht="180" spans="1:13">
      <c r="A431" s="1" t="s">
        <v>1996</v>
      </c>
      <c r="B431" s="1" t="s">
        <v>13</v>
      </c>
      <c r="C431" s="4" t="s">
        <v>2005</v>
      </c>
      <c r="D431" s="1" t="s">
        <v>2006</v>
      </c>
      <c r="E431" s="1" t="s">
        <v>2007</v>
      </c>
      <c r="F431" s="4" t="s">
        <v>17</v>
      </c>
      <c r="G431" s="1" t="s">
        <v>18</v>
      </c>
      <c r="H431" s="1" t="s">
        <v>19</v>
      </c>
      <c r="I431" s="1" t="s">
        <v>20</v>
      </c>
      <c r="J431" s="1" t="s">
        <v>2008</v>
      </c>
      <c r="K431" s="1" t="s">
        <v>22</v>
      </c>
      <c r="L431" s="1" t="str">
        <f>HYPERLINK("https://files.afu.se/Downloads/Transcripts/0%20-%20Government/USA%20-%20NASA%20Kennedy/2019 03 02 - NASA's Kennedy Space Center - SpaceX Falcon 9 with Crew Dragon Onboard Launches on Demo-1_SBj2KsnAKb4 - transcript (automated).pdf","Transcript Link")</f>
        <v>Transcript Link</v>
      </c>
      <c r="M431" s="2" t="str">
        <f>HYPERLINK("https://files.afu.se/Downloads/Transcripts/0%20-%20Government/USA%20-%20NASA%20Kennedy/2019 03 02 - NASA's Kennedy Space Center - SpaceX Falcon 9 with Crew Dragon Onboard Launches on Demo-1_SBj2KsnAKb4 - transcript (automated).pdf","Transcript Link")</f>
        <v>Transcript Link</v>
      </c>
    </row>
    <row r="432" ht="180" spans="1:13">
      <c r="A432" s="1" t="s">
        <v>1996</v>
      </c>
      <c r="B432" s="1" t="s">
        <v>13</v>
      </c>
      <c r="C432" s="4" t="s">
        <v>2009</v>
      </c>
      <c r="D432" s="1" t="s">
        <v>2010</v>
      </c>
      <c r="E432" s="1" t="s">
        <v>2011</v>
      </c>
      <c r="F432" s="4" t="s">
        <v>17</v>
      </c>
      <c r="G432" s="1" t="s">
        <v>18</v>
      </c>
      <c r="H432" s="1" t="s">
        <v>19</v>
      </c>
      <c r="I432" s="1" t="s">
        <v>20</v>
      </c>
      <c r="J432" s="1" t="s">
        <v>2012</v>
      </c>
      <c r="K432" s="1" t="s">
        <v>22</v>
      </c>
      <c r="L432" s="1" t="str">
        <f>HYPERLINK("https://files.afu.se/Downloads/Transcripts/0%20-%20Government/USA%20-%20NASA%20Kennedy/2019 03 02 - NASA's Kennedy Space Center - Prelaunch Broadcast Begins for SpaceX Demo-1_cNKaM7KVj7Q - transcript (automated).pdf","Transcript Link")</f>
        <v>Transcript Link</v>
      </c>
      <c r="M432" s="2" t="str">
        <f>HYPERLINK("https://files.afu.se/Downloads/Transcripts/0%20-%20Government/USA%20-%20NASA%20Kennedy/2019 03 02 - NASA's Kennedy Space Center - Prelaunch Broadcast Begins for SpaceX Demo-1_cNKaM7KVj7Q - transcript (automated).pdf","Transcript Link")</f>
        <v>Transcript Link</v>
      </c>
    </row>
    <row r="433" ht="225" spans="1:13">
      <c r="A433" s="1" t="s">
        <v>1996</v>
      </c>
      <c r="B433" s="1" t="s">
        <v>13</v>
      </c>
      <c r="C433" s="4" t="s">
        <v>2013</v>
      </c>
      <c r="D433" s="1" t="s">
        <v>2014</v>
      </c>
      <c r="E433" s="1" t="s">
        <v>2015</v>
      </c>
      <c r="F433" s="4" t="s">
        <v>17</v>
      </c>
      <c r="G433" s="1" t="s">
        <v>18</v>
      </c>
      <c r="H433" s="1" t="s">
        <v>19</v>
      </c>
      <c r="I433" s="1" t="s">
        <v>20</v>
      </c>
      <c r="J433" s="1" t="s">
        <v>2016</v>
      </c>
      <c r="K433" s="1" t="s">
        <v>22</v>
      </c>
      <c r="L433" s="1">
        <v>0</v>
      </c>
      <c r="M433" s="2">
        <v>0</v>
      </c>
    </row>
    <row r="434" ht="180" spans="1:13">
      <c r="A434" s="1" t="s">
        <v>2017</v>
      </c>
      <c r="B434" s="1" t="s">
        <v>13</v>
      </c>
      <c r="C434" s="4" t="s">
        <v>2018</v>
      </c>
      <c r="D434" s="1" t="s">
        <v>2019</v>
      </c>
      <c r="E434" s="1" t="s">
        <v>2020</v>
      </c>
      <c r="F434" s="4" t="s">
        <v>17</v>
      </c>
      <c r="G434" s="1" t="s">
        <v>18</v>
      </c>
      <c r="H434" s="1" t="s">
        <v>19</v>
      </c>
      <c r="I434" s="1" t="s">
        <v>20</v>
      </c>
      <c r="J434" s="1" t="s">
        <v>2021</v>
      </c>
      <c r="K434" s="1" t="s">
        <v>22</v>
      </c>
      <c r="L434" s="1" t="str">
        <f>HYPERLINK("https://files.afu.se/Downloads/Transcripts/0%20-%20Government/USA%20-%20NASA%20Kennedy/2019 02 28 - NASA's Kennedy Space Center - Path to the Pad_m9-QlQTou9U - transcript (automated).pdf","Transcript Link")</f>
        <v>Transcript Link</v>
      </c>
      <c r="M434" s="2" t="str">
        <f>HYPERLINK("https://files.afu.se/Downloads/Transcripts/0%20-%20Government/USA%20-%20NASA%20Kennedy/2019 02 28 - NASA's Kennedy Space Center - Path to the Pad_m9-QlQTou9U - transcript (automated).pdf","Transcript Link")</f>
        <v>Transcript Link</v>
      </c>
    </row>
    <row r="435" ht="180" spans="1:13">
      <c r="A435" s="1" t="s">
        <v>2022</v>
      </c>
      <c r="B435" s="1" t="s">
        <v>13</v>
      </c>
      <c r="C435" s="4" t="s">
        <v>2023</v>
      </c>
      <c r="D435" s="1" t="s">
        <v>2024</v>
      </c>
      <c r="E435" s="1" t="s">
        <v>2025</v>
      </c>
      <c r="F435" s="4" t="s">
        <v>17</v>
      </c>
      <c r="G435" s="1" t="s">
        <v>18</v>
      </c>
      <c r="H435" s="1" t="s">
        <v>19</v>
      </c>
      <c r="I435" s="1" t="s">
        <v>20</v>
      </c>
      <c r="J435" s="1" t="s">
        <v>2026</v>
      </c>
      <c r="K435" s="1" t="s">
        <v>22</v>
      </c>
      <c r="L435" s="1" t="str">
        <f>HYPERLINK("https://files.afu.se/Downloads/Transcripts/0%20-%20Government/USA%20-%20NASA%20Kennedy/2019 02 22 - NASA's Kennedy Space Center - Inside KSC! Feb. 22, 2019_nBXuIUTiKTE - transcript (automated).pdf","Transcript Link")</f>
        <v>Transcript Link</v>
      </c>
      <c r="M435" s="2" t="str">
        <f>HYPERLINK("https://files.afu.se/Downloads/Transcripts/0%20-%20Government/USA%20-%20NASA%20Kennedy/2019 02 22 - NASA's Kennedy Space Center - Inside KSC! Feb. 22, 2019_nBXuIUTiKTE - transcript (automated).pdf","Transcript Link")</f>
        <v>Transcript Link</v>
      </c>
    </row>
    <row r="436" ht="180" spans="1:13">
      <c r="A436" s="1" t="s">
        <v>2027</v>
      </c>
      <c r="B436" s="1" t="s">
        <v>13</v>
      </c>
      <c r="C436" s="4" t="s">
        <v>2028</v>
      </c>
      <c r="D436" s="1" t="s">
        <v>2029</v>
      </c>
      <c r="E436" s="1" t="s">
        <v>2030</v>
      </c>
      <c r="F436" s="4" t="s">
        <v>17</v>
      </c>
      <c r="G436" s="1" t="s">
        <v>18</v>
      </c>
      <c r="H436" s="1" t="s">
        <v>19</v>
      </c>
      <c r="I436" s="1" t="s">
        <v>20</v>
      </c>
      <c r="J436" s="1" t="s">
        <v>2031</v>
      </c>
      <c r="K436" s="1" t="s">
        <v>22</v>
      </c>
      <c r="L436" s="1" t="str">
        <f>HYPERLINK("https://files.afu.se/Downloads/Transcripts/0%20-%20Government/USA%20-%20NASA%20Kennedy/2019 02 15 - NASA's Kennedy Space Center - Inside KSC! Feb. 15, 2019_4fv12NUZhd0 - transcript (automated).pdf","Transcript Link")</f>
        <v>Transcript Link</v>
      </c>
      <c r="M436" s="2" t="str">
        <f>HYPERLINK("https://files.afu.se/Downloads/Transcripts/0%20-%20Government/USA%20-%20NASA%20Kennedy/2019 02 15 - NASA's Kennedy Space Center - Inside KSC! Feb. 15, 2019_4fv12NUZhd0 - transcript (automated).pdf","Transcript Link")</f>
        <v>Transcript Link</v>
      </c>
    </row>
    <row r="437" ht="180" spans="1:13">
      <c r="A437" s="1" t="s">
        <v>2032</v>
      </c>
      <c r="B437" s="1" t="s">
        <v>13</v>
      </c>
      <c r="C437" s="4" t="s">
        <v>2033</v>
      </c>
      <c r="D437" s="1" t="s">
        <v>2034</v>
      </c>
      <c r="F437" s="4" t="s">
        <v>17</v>
      </c>
      <c r="G437" s="1" t="s">
        <v>18</v>
      </c>
      <c r="H437" s="1" t="s">
        <v>19</v>
      </c>
      <c r="I437" s="1" t="s">
        <v>20</v>
      </c>
      <c r="J437" s="1" t="s">
        <v>2035</v>
      </c>
      <c r="K437" s="1" t="s">
        <v>22</v>
      </c>
      <c r="L437" s="1" t="str">
        <f>HYPERLINK("https://files.afu.se/Downloads/Transcripts/0%20-%20Government/USA%20-%20NASA%20Kennedy/2019 02 14 - NASA's Kennedy Space Center - Space Zinnias  From the Space Station to Earth_6Y1N37rciGk - transcript (automated).pdf","Transcript Link")</f>
        <v>Transcript Link</v>
      </c>
      <c r="M437" s="2" t="str">
        <f>HYPERLINK("https://files.afu.se/Downloads/Transcripts/0%20-%20Government/USA%20-%20NASA%20Kennedy/2019 02 14 - NASA's Kennedy Space Center - Space Zinnias  From the Space Station to Earth_6Y1N37rciGk - transcript (automated).pdf","Transcript Link")</f>
        <v>Transcript Link</v>
      </c>
    </row>
    <row r="438" ht="180" spans="1:13">
      <c r="A438" s="1" t="s">
        <v>2036</v>
      </c>
      <c r="B438" s="1" t="s">
        <v>13</v>
      </c>
      <c r="C438" s="4" t="s">
        <v>2037</v>
      </c>
      <c r="D438" s="1" t="s">
        <v>2038</v>
      </c>
      <c r="E438" s="1" t="s">
        <v>2039</v>
      </c>
      <c r="F438" s="4" t="s">
        <v>17</v>
      </c>
      <c r="G438" s="1" t="s">
        <v>18</v>
      </c>
      <c r="H438" s="1" t="s">
        <v>19</v>
      </c>
      <c r="I438" s="1" t="s">
        <v>20</v>
      </c>
      <c r="J438" s="1" t="s">
        <v>2040</v>
      </c>
      <c r="K438" s="1" t="s">
        <v>22</v>
      </c>
      <c r="L438" s="1" t="str">
        <f>HYPERLINK("https://files.afu.se/Downloads/Transcripts/0%20-%20Government/USA%20-%20NASA%20Kennedy/2019 02 08 - NASA's Kennedy Space Center - Inside KSC! Feb. 8, 2019_UemJoUu6pyc - transcript (automated).pdf","Transcript Link")</f>
        <v>Transcript Link</v>
      </c>
      <c r="M438" s="2" t="str">
        <f>HYPERLINK("https://files.afu.se/Downloads/Transcripts/0%20-%20Government/USA%20-%20NASA%20Kennedy/2019 02 08 - NASA's Kennedy Space Center - Inside KSC! Feb. 8, 2019_UemJoUu6pyc - transcript (automated).pdf","Transcript Link")</f>
        <v>Transcript Link</v>
      </c>
    </row>
    <row r="439" ht="180" spans="1:13">
      <c r="A439" s="1" t="s">
        <v>2036</v>
      </c>
      <c r="B439" s="1" t="s">
        <v>13</v>
      </c>
      <c r="C439" s="4" t="s">
        <v>2041</v>
      </c>
      <c r="D439" s="1" t="s">
        <v>2042</v>
      </c>
      <c r="E439" s="1" t="s">
        <v>2043</v>
      </c>
      <c r="F439" s="4" t="s">
        <v>17</v>
      </c>
      <c r="G439" s="1" t="s">
        <v>18</v>
      </c>
      <c r="H439" s="1" t="s">
        <v>19</v>
      </c>
      <c r="I439" s="1" t="s">
        <v>20</v>
      </c>
      <c r="J439" s="1" t="s">
        <v>2044</v>
      </c>
      <c r="K439" s="1" t="s">
        <v>22</v>
      </c>
      <c r="L439" s="1" t="str">
        <f>HYPERLINK("https://files.afu.se/Downloads/Transcripts/0%20-%20Government/USA%20-%20NASA%20Kennedy/2019 02 08 - NASA's Kennedy Space Center - NASA’s Launch Services Program  The Common Thread_9GwU8O8wfpQ - transcript (automated).pdf","Transcript Link")</f>
        <v>Transcript Link</v>
      </c>
      <c r="M439" s="2" t="str">
        <f>HYPERLINK("https://files.afu.se/Downloads/Transcripts/0%20-%20Government/USA%20-%20NASA%20Kennedy/2019 02 08 - NASA's Kennedy Space Center - NASA’s Launch Services Program  The Common Thread_9GwU8O8wfpQ - transcript (automated).pdf","Transcript Link")</f>
        <v>Transcript Link</v>
      </c>
    </row>
    <row r="440" ht="180" spans="1:13">
      <c r="A440" s="1" t="s">
        <v>2045</v>
      </c>
      <c r="B440" s="1" t="s">
        <v>13</v>
      </c>
      <c r="C440" s="4" t="s">
        <v>2046</v>
      </c>
      <c r="D440" s="1" t="s">
        <v>2047</v>
      </c>
      <c r="E440" s="1" t="s">
        <v>2048</v>
      </c>
      <c r="F440" s="4" t="s">
        <v>17</v>
      </c>
      <c r="G440" s="1" t="s">
        <v>18</v>
      </c>
      <c r="H440" s="1" t="s">
        <v>19</v>
      </c>
      <c r="I440" s="1" t="s">
        <v>20</v>
      </c>
      <c r="J440" s="1" t="s">
        <v>2049</v>
      </c>
      <c r="K440" s="1" t="s">
        <v>22</v>
      </c>
      <c r="L440" s="1" t="str">
        <f>HYPERLINK("https://files.afu.se/Downloads/Transcripts/0%20-%20Government/USA%20-%20NASA%20Kennedy/2019 02 01 - NASA's Kennedy Space Center - Inside KSC! Feb. 1, 2019_GrLRalLdMbw - transcript (automated).pdf","Transcript Link")</f>
        <v>Transcript Link</v>
      </c>
      <c r="M440" s="2" t="str">
        <f>HYPERLINK("https://files.afu.se/Downloads/Transcripts/0%20-%20Government/USA%20-%20NASA%20Kennedy/2019 02 01 - NASA's Kennedy Space Center - Inside KSC! Feb. 1, 2019_GrLRalLdMbw - transcript (automated).pdf","Transcript Link")</f>
        <v>Transcript Link</v>
      </c>
    </row>
    <row r="441" ht="180" spans="1:13">
      <c r="A441" s="1" t="s">
        <v>2050</v>
      </c>
      <c r="B441" s="1" t="s">
        <v>13</v>
      </c>
      <c r="C441" s="4" t="s">
        <v>2051</v>
      </c>
      <c r="D441" s="1" t="s">
        <v>2052</v>
      </c>
      <c r="E441" s="1" t="s">
        <v>2053</v>
      </c>
      <c r="F441" s="4" t="s">
        <v>17</v>
      </c>
      <c r="G441" s="1" t="s">
        <v>18</v>
      </c>
      <c r="H441" s="1" t="s">
        <v>19</v>
      </c>
      <c r="I441" s="1" t="s">
        <v>20</v>
      </c>
      <c r="J441" s="1" t="s">
        <v>2054</v>
      </c>
      <c r="K441" s="1" t="s">
        <v>22</v>
      </c>
      <c r="L441" s="1" t="str">
        <f>HYPERLINK("https://files.afu.se/Downloads/Transcripts/0%20-%20Government/USA%20-%20NASA%20Kennedy/2018 12 21 - NASA's Kennedy Space Center - Inside KSC! Dec. 21, 2018_MrnIY-q0x70 - transcript (automated).pdf","Transcript Link")</f>
        <v>Transcript Link</v>
      </c>
      <c r="M441" s="2" t="str">
        <f>HYPERLINK("https://files.afu.se/Downloads/Transcripts/0%20-%20Government/USA%20-%20NASA%20Kennedy/2018 12 21 - NASA's Kennedy Space Center - Inside KSC! Dec. 21, 2018_MrnIY-q0x70 - transcript (automated).pdf","Transcript Link")</f>
        <v>Transcript Link</v>
      </c>
    </row>
    <row r="442" ht="180" spans="1:13">
      <c r="A442" s="1" t="s">
        <v>2050</v>
      </c>
      <c r="B442" s="1" t="s">
        <v>13</v>
      </c>
      <c r="C442" s="4" t="s">
        <v>2055</v>
      </c>
      <c r="D442" s="1" t="s">
        <v>2056</v>
      </c>
      <c r="E442" s="1" t="s">
        <v>2057</v>
      </c>
      <c r="F442" s="4" t="s">
        <v>17</v>
      </c>
      <c r="G442" s="1" t="s">
        <v>18</v>
      </c>
      <c r="H442" s="1" t="s">
        <v>19</v>
      </c>
      <c r="I442" s="1" t="s">
        <v>20</v>
      </c>
      <c r="J442" s="1" t="s">
        <v>2058</v>
      </c>
      <c r="K442" s="1" t="s">
        <v>22</v>
      </c>
      <c r="L442" s="1" t="str">
        <f>HYPERLINK("https://files.afu.se/Downloads/Transcripts/0%20-%20Government/USA%20-%20NASA%20Kennedy/2018 12 21 - NASA's Kennedy Space Center - Astronaut meets OSCAR – a device that can turn trash into gas_d8I3PnPljeE - transcript (automated).pdf","Transcript Link")</f>
        <v>Transcript Link</v>
      </c>
      <c r="M442" s="2" t="str">
        <f>HYPERLINK("https://files.afu.se/Downloads/Transcripts/0%20-%20Government/USA%20-%20NASA%20Kennedy/2018 12 21 - NASA's Kennedy Space Center - Astronaut meets OSCAR – a device that can turn trash into gas_d8I3PnPljeE - transcript (automated).pdf","Transcript Link")</f>
        <v>Transcript Link</v>
      </c>
    </row>
    <row r="443" ht="180" spans="1:13">
      <c r="A443" s="1" t="s">
        <v>2050</v>
      </c>
      <c r="B443" s="1" t="s">
        <v>13</v>
      </c>
      <c r="C443" s="4" t="s">
        <v>2059</v>
      </c>
      <c r="D443" s="1" t="s">
        <v>2060</v>
      </c>
      <c r="E443" s="1" t="s">
        <v>2061</v>
      </c>
      <c r="F443" s="4" t="s">
        <v>17</v>
      </c>
      <c r="G443" s="1" t="s">
        <v>18</v>
      </c>
      <c r="H443" s="1" t="s">
        <v>19</v>
      </c>
      <c r="I443" s="1" t="s">
        <v>20</v>
      </c>
      <c r="J443" s="1" t="s">
        <v>2062</v>
      </c>
      <c r="K443" s="1" t="s">
        <v>22</v>
      </c>
      <c r="L443" s="1" t="str">
        <f>HYPERLINK("https://files.afu.se/Downloads/Transcripts/0%20-%20Government/USA%20-%20NASA%20Kennedy/2018 12 21 - NASA's Kennedy Space Center - Commercial Crew  Prepare For Launch_2Pyd_ZfpxsA - transcript (automated).pdf","Transcript Link")</f>
        <v>Transcript Link</v>
      </c>
      <c r="M443" s="2" t="str">
        <f>HYPERLINK("https://files.afu.se/Downloads/Transcripts/0%20-%20Government/USA%20-%20NASA%20Kennedy/2018 12 21 - NASA's Kennedy Space Center - Commercial Crew  Prepare For Launch_2Pyd_ZfpxsA - transcript (automated).pdf","Transcript Link")</f>
        <v>Transcript Link</v>
      </c>
    </row>
    <row r="444" ht="180" spans="1:13">
      <c r="A444" s="1" t="s">
        <v>2063</v>
      </c>
      <c r="B444" s="1" t="s">
        <v>13</v>
      </c>
      <c r="C444" s="4" t="s">
        <v>2064</v>
      </c>
      <c r="D444" s="1" t="s">
        <v>2065</v>
      </c>
      <c r="E444" s="1" t="s">
        <v>2066</v>
      </c>
      <c r="F444" s="4" t="s">
        <v>17</v>
      </c>
      <c r="G444" s="1" t="s">
        <v>18</v>
      </c>
      <c r="H444" s="1" t="s">
        <v>19</v>
      </c>
      <c r="I444" s="1" t="s">
        <v>20</v>
      </c>
      <c r="J444" s="1" t="s">
        <v>2067</v>
      </c>
      <c r="K444" s="1" t="s">
        <v>22</v>
      </c>
      <c r="L444" s="1" t="str">
        <f>HYPERLINK("https://files.afu.se/Downloads/Transcripts/0%20-%20Government/USA%20-%20NASA%20Kennedy/2018 12 18 - NASA's Kennedy Space Center - Explore Kennedy Space Center  Mobile Launcher_T7Iu_yXtbPQ - transcript (automated).pdf","Transcript Link")</f>
        <v>Transcript Link</v>
      </c>
      <c r="M444" s="2" t="str">
        <f>HYPERLINK("https://files.afu.se/Downloads/Transcripts/0%20-%20Government/USA%20-%20NASA%20Kennedy/2018 12 18 - NASA's Kennedy Space Center - Explore Kennedy Space Center  Mobile Launcher_T7Iu_yXtbPQ - transcript (automated).pdf","Transcript Link")</f>
        <v>Transcript Link</v>
      </c>
    </row>
    <row r="445" ht="180" spans="1:13">
      <c r="A445" s="1" t="s">
        <v>2068</v>
      </c>
      <c r="B445" s="1" t="s">
        <v>13</v>
      </c>
      <c r="C445" s="4" t="s">
        <v>2069</v>
      </c>
      <c r="D445" s="1" t="s">
        <v>2070</v>
      </c>
      <c r="E445" s="1" t="s">
        <v>2071</v>
      </c>
      <c r="F445" s="4" t="s">
        <v>17</v>
      </c>
      <c r="G445" s="1" t="s">
        <v>18</v>
      </c>
      <c r="H445" s="1" t="s">
        <v>19</v>
      </c>
      <c r="I445" s="1" t="s">
        <v>20</v>
      </c>
      <c r="J445" s="1" t="s">
        <v>2072</v>
      </c>
      <c r="K445" s="1" t="s">
        <v>22</v>
      </c>
      <c r="L445" s="1" t="str">
        <f>HYPERLINK("https://files.afu.se/Downloads/Transcripts/0%20-%20Government/USA%20-%20NASA%20Kennedy/2018 12 14 - NASA's Kennedy Space Center - Inside KSC! Dec. 14, 2018_qNhXhov8zkk - transcript (automated).pdf","Transcript Link")</f>
        <v>Transcript Link</v>
      </c>
      <c r="M445" s="2" t="str">
        <f>HYPERLINK("https://files.afu.se/Downloads/Transcripts/0%20-%20Government/USA%20-%20NASA%20Kennedy/2018 12 14 - NASA's Kennedy Space Center - Inside KSC! Dec. 14, 2018_qNhXhov8zkk - transcript (automated).pdf","Transcript Link")</f>
        <v>Transcript Link</v>
      </c>
    </row>
    <row r="446" ht="180" spans="1:13">
      <c r="A446" s="1" t="s">
        <v>2073</v>
      </c>
      <c r="B446" s="1" t="s">
        <v>13</v>
      </c>
      <c r="C446" s="4" t="s">
        <v>2074</v>
      </c>
      <c r="D446" s="1" t="s">
        <v>2075</v>
      </c>
      <c r="E446" s="1" t="s">
        <v>2076</v>
      </c>
      <c r="F446" s="4" t="s">
        <v>17</v>
      </c>
      <c r="G446" s="1" t="s">
        <v>18</v>
      </c>
      <c r="H446" s="1" t="s">
        <v>19</v>
      </c>
      <c r="I446" s="1" t="s">
        <v>20</v>
      </c>
      <c r="J446" s="1" t="s">
        <v>2077</v>
      </c>
      <c r="K446" s="1" t="s">
        <v>22</v>
      </c>
      <c r="L446" s="1" t="str">
        <f>HYPERLINK("https://files.afu.se/Downloads/Transcripts/0%20-%20Government/USA%20-%20NASA%20Kennedy/2018 12 10 - NASA's Kennedy Space Center - Small Satellites, First-Class Ride  ELaNa 19__gN00Rfof8k - transcript (automated).pdf","Transcript Link")</f>
        <v>Transcript Link</v>
      </c>
      <c r="M446" s="2" t="str">
        <f>HYPERLINK("https://files.afu.se/Downloads/Transcripts/0%20-%20Government/USA%20-%20NASA%20Kennedy/2018 12 10 - NASA's Kennedy Space Center - Small Satellites, First-Class Ride  ELaNa 19__gN00Rfof8k - transcript (automated).pdf","Transcript Link")</f>
        <v>Transcript Link</v>
      </c>
    </row>
    <row r="447" ht="180" spans="1:13">
      <c r="A447" s="1" t="s">
        <v>2073</v>
      </c>
      <c r="B447" s="1" t="s">
        <v>13</v>
      </c>
      <c r="C447" s="4" t="s">
        <v>2078</v>
      </c>
      <c r="D447" s="1" t="s">
        <v>2079</v>
      </c>
      <c r="E447" s="1" t="s">
        <v>2080</v>
      </c>
      <c r="F447" s="4" t="s">
        <v>17</v>
      </c>
      <c r="G447" s="1" t="s">
        <v>18</v>
      </c>
      <c r="H447" s="1" t="s">
        <v>19</v>
      </c>
      <c r="I447" s="1" t="s">
        <v>20</v>
      </c>
      <c r="J447" s="1" t="s">
        <v>2081</v>
      </c>
      <c r="K447" s="1" t="s">
        <v>22</v>
      </c>
      <c r="L447" s="1" t="str">
        <f>HYPERLINK("https://files.afu.se/Downloads/Transcripts/0%20-%20Government/USA%20-%20NASA%20Kennedy/2018 12 10 - NASA's Kennedy Space Center - Engineering The Future Today_7JRmqth1MQM - transcript (automated).pdf","Transcript Link")</f>
        <v>Transcript Link</v>
      </c>
      <c r="M447" s="2" t="str">
        <f>HYPERLINK("https://files.afu.se/Downloads/Transcripts/0%20-%20Government/USA%20-%20NASA%20Kennedy/2018 12 10 - NASA's Kennedy Space Center - Engineering The Future Today_7JRmqth1MQM - transcript (automated).pdf","Transcript Link")</f>
        <v>Transcript Link</v>
      </c>
    </row>
    <row r="448" ht="180" spans="1:13">
      <c r="A448" s="1" t="s">
        <v>2082</v>
      </c>
      <c r="B448" s="1" t="s">
        <v>13</v>
      </c>
      <c r="C448" s="4" t="s">
        <v>2083</v>
      </c>
      <c r="D448" s="1" t="s">
        <v>2084</v>
      </c>
      <c r="E448" s="1" t="s">
        <v>2085</v>
      </c>
      <c r="F448" s="4" t="s">
        <v>17</v>
      </c>
      <c r="G448" s="1" t="s">
        <v>18</v>
      </c>
      <c r="H448" s="1" t="s">
        <v>19</v>
      </c>
      <c r="I448" s="1" t="s">
        <v>20</v>
      </c>
      <c r="J448" s="1" t="s">
        <v>2086</v>
      </c>
      <c r="K448" s="1" t="s">
        <v>22</v>
      </c>
      <c r="L448" s="1" t="str">
        <f>HYPERLINK("https://files.afu.se/Downloads/Transcripts/0%20-%20Government/USA%20-%20NASA%20Kennedy/2018 12 07 - NASA's Kennedy Space Center - Inside KSC! for Dec. 7, 2018_v6NiVc4qbxI - transcript (automated).pdf","Transcript Link")</f>
        <v>Transcript Link</v>
      </c>
      <c r="M448" s="2" t="str">
        <f>HYPERLINK("https://files.afu.se/Downloads/Transcripts/0%20-%20Government/USA%20-%20NASA%20Kennedy/2018 12 07 - NASA's Kennedy Space Center - Inside KSC! for Dec. 7, 2018_v6NiVc4qbxI - transcript (automated).pdf","Transcript Link")</f>
        <v>Transcript Link</v>
      </c>
    </row>
    <row r="449" ht="180" spans="1:13">
      <c r="A449" s="1" t="s">
        <v>2087</v>
      </c>
      <c r="B449" s="1" t="s">
        <v>13</v>
      </c>
      <c r="C449" s="4" t="s">
        <v>2088</v>
      </c>
      <c r="D449" s="1" t="s">
        <v>2089</v>
      </c>
      <c r="E449" s="1" t="s">
        <v>2090</v>
      </c>
      <c r="F449" s="4" t="s">
        <v>17</v>
      </c>
      <c r="G449" s="1" t="s">
        <v>18</v>
      </c>
      <c r="H449" s="1" t="s">
        <v>19</v>
      </c>
      <c r="I449" s="1" t="s">
        <v>20</v>
      </c>
      <c r="J449" s="1" t="s">
        <v>2091</v>
      </c>
      <c r="K449" s="1" t="s">
        <v>22</v>
      </c>
      <c r="L449" s="1" t="str">
        <f>HYPERLINK("https://files.afu.se/Downloads/Transcripts/0%20-%20Government/USA%20-%20NASA%20Kennedy/2018 12 05 - NASA's Kennedy Space Center - Dragon SpaceX CRS-16 Spacecraft Separation_8OqyWz5iVF0 - transcript (automated).pdf","Transcript Link")</f>
        <v>Transcript Link</v>
      </c>
      <c r="M449" s="2" t="str">
        <f>HYPERLINK("https://files.afu.se/Downloads/Transcripts/0%20-%20Government/USA%20-%20NASA%20Kennedy/2018 12 05 - NASA's Kennedy Space Center - Dragon SpaceX CRS-16 Spacecraft Separation_8OqyWz5iVF0 - transcript (automated).pdf","Transcript Link")</f>
        <v>Transcript Link</v>
      </c>
    </row>
    <row r="450" ht="180" spans="1:13">
      <c r="A450" s="1" t="s">
        <v>2087</v>
      </c>
      <c r="B450" s="1" t="s">
        <v>13</v>
      </c>
      <c r="C450" s="4" t="s">
        <v>2092</v>
      </c>
      <c r="D450" s="1" t="s">
        <v>2093</v>
      </c>
      <c r="E450" s="1" t="s">
        <v>2094</v>
      </c>
      <c r="F450" s="4" t="s">
        <v>17</v>
      </c>
      <c r="G450" s="1" t="s">
        <v>18</v>
      </c>
      <c r="H450" s="1" t="s">
        <v>19</v>
      </c>
      <c r="I450" s="1" t="s">
        <v>20</v>
      </c>
      <c r="J450" s="1" t="s">
        <v>2095</v>
      </c>
      <c r="K450" s="1" t="s">
        <v>22</v>
      </c>
      <c r="L450" s="1" t="str">
        <f>HYPERLINK("https://files.afu.se/Downloads/Transcripts/0%20-%20Government/USA%20-%20NASA%20Kennedy/2018 12 05 - NASA's Kennedy Space Center - SpaceX CRS-16 Liftoff_58_WKnjqYOo - transcript (automated).pdf","Transcript Link")</f>
        <v>Transcript Link</v>
      </c>
      <c r="M450" s="2" t="str">
        <f>HYPERLINK("https://files.afu.se/Downloads/Transcripts/0%20-%20Government/USA%20-%20NASA%20Kennedy/2018 12 05 - NASA's Kennedy Space Center - SpaceX CRS-16 Liftoff_58_WKnjqYOo - transcript (automated).pdf","Transcript Link")</f>
        <v>Transcript Link</v>
      </c>
    </row>
    <row r="451" ht="180" spans="1:13">
      <c r="A451" s="1" t="s">
        <v>2087</v>
      </c>
      <c r="B451" s="1" t="s">
        <v>13</v>
      </c>
      <c r="C451" s="4" t="s">
        <v>2096</v>
      </c>
      <c r="D451" s="1" t="s">
        <v>2097</v>
      </c>
      <c r="E451" s="1" t="s">
        <v>2098</v>
      </c>
      <c r="F451" s="4" t="s">
        <v>17</v>
      </c>
      <c r="G451" s="1" t="s">
        <v>18</v>
      </c>
      <c r="H451" s="1" t="s">
        <v>19</v>
      </c>
      <c r="I451" s="1" t="s">
        <v>20</v>
      </c>
      <c r="J451" s="1" t="s">
        <v>2099</v>
      </c>
      <c r="K451" s="1" t="s">
        <v>22</v>
      </c>
      <c r="L451" s="1" t="str">
        <f>HYPERLINK("https://files.afu.se/Downloads/Transcripts/0%20-%20Government/USA%20-%20NASA%20Kennedy/2018 12 05 - NASA's Kennedy Space Center - Space X CRS-16 Countdown Underway_6VgtqBsQsdQ - transcript (automated).pdf","Transcript Link")</f>
        <v>Transcript Link</v>
      </c>
      <c r="M451" s="2" t="str">
        <f>HYPERLINK("https://files.afu.se/Downloads/Transcripts/0%20-%20Government/USA%20-%20NASA%20Kennedy/2018 12 05 - NASA's Kennedy Space Center - Space X CRS-16 Countdown Underway_6VgtqBsQsdQ - transcript (automated).pdf","Transcript Link")</f>
        <v>Transcript Link</v>
      </c>
    </row>
    <row r="452" ht="180" spans="1:13">
      <c r="A452" s="1" t="s">
        <v>2100</v>
      </c>
      <c r="B452" s="1" t="s">
        <v>13</v>
      </c>
      <c r="C452" s="4" t="s">
        <v>2101</v>
      </c>
      <c r="D452" s="1" t="s">
        <v>2102</v>
      </c>
      <c r="E452" s="1" t="s">
        <v>2103</v>
      </c>
      <c r="F452" s="4" t="s">
        <v>17</v>
      </c>
      <c r="G452" s="1" t="s">
        <v>18</v>
      </c>
      <c r="H452" s="1" t="s">
        <v>19</v>
      </c>
      <c r="I452" s="1" t="s">
        <v>20</v>
      </c>
      <c r="J452" s="1" t="s">
        <v>2104</v>
      </c>
      <c r="K452" s="1" t="s">
        <v>22</v>
      </c>
      <c r="L452" s="1" t="str">
        <f>HYPERLINK("https://files.afu.se/Downloads/Transcripts/0%20-%20Government/USA%20-%20NASA%20Kennedy/2018 12 03 - NASA's Kennedy Space Center - Venture Class Rockets  First Class Flights for CubeSats_0EJqfWMuOAQ - transcript (automated).pdf","Transcript Link")</f>
        <v>Transcript Link</v>
      </c>
      <c r="M452" s="2" t="str">
        <f>HYPERLINK("https://files.afu.se/Downloads/Transcripts/0%20-%20Government/USA%20-%20NASA%20Kennedy/2018 12 03 - NASA's Kennedy Space Center - Venture Class Rockets  First Class Flights for CubeSats_0EJqfWMuOAQ - transcript (automated).pdf","Transcript Link")</f>
        <v>Transcript Link</v>
      </c>
    </row>
    <row r="453" ht="180" spans="1:13">
      <c r="A453" s="1" t="s">
        <v>2105</v>
      </c>
      <c r="B453" s="1" t="s">
        <v>13</v>
      </c>
      <c r="C453" s="4" t="s">
        <v>2106</v>
      </c>
      <c r="D453" s="1" t="s">
        <v>2107</v>
      </c>
      <c r="E453" s="1" t="s">
        <v>2108</v>
      </c>
      <c r="F453" s="4" t="s">
        <v>17</v>
      </c>
      <c r="G453" s="1" t="s">
        <v>18</v>
      </c>
      <c r="H453" s="1" t="s">
        <v>19</v>
      </c>
      <c r="I453" s="1" t="s">
        <v>20</v>
      </c>
      <c r="J453" s="1" t="s">
        <v>2109</v>
      </c>
      <c r="K453" s="1" t="s">
        <v>22</v>
      </c>
      <c r="L453" s="1" t="str">
        <f>HYPERLINK("https://files.afu.se/Downloads/Transcripts/0%20-%20Government/USA%20-%20NASA%20Kennedy/2018 11 30 - NASA's Kennedy Space Center - Inside KSC! Nov. 30, 2018_ApG9abfohW4 - transcript (automated).pdf","Transcript Link")</f>
        <v>Transcript Link</v>
      </c>
      <c r="M453" s="2" t="str">
        <f>HYPERLINK("https://files.afu.se/Downloads/Transcripts/0%20-%20Government/USA%20-%20NASA%20Kennedy/2018 11 30 - NASA's Kennedy Space Center - Inside KSC! Nov. 30, 2018_ApG9abfohW4 - transcript (automated).pdf","Transcript Link")</f>
        <v>Transcript Link</v>
      </c>
    </row>
    <row r="454" ht="180" spans="1:13">
      <c r="A454" s="1" t="s">
        <v>2110</v>
      </c>
      <c r="B454" s="1" t="s">
        <v>13</v>
      </c>
      <c r="C454" s="4" t="s">
        <v>2111</v>
      </c>
      <c r="D454" s="1" t="s">
        <v>2112</v>
      </c>
      <c r="E454" s="1" t="s">
        <v>2113</v>
      </c>
      <c r="F454" s="4" t="s">
        <v>17</v>
      </c>
      <c r="G454" s="1" t="s">
        <v>18</v>
      </c>
      <c r="H454" s="1" t="s">
        <v>19</v>
      </c>
      <c r="I454" s="1" t="s">
        <v>20</v>
      </c>
      <c r="J454" s="1" t="s">
        <v>2114</v>
      </c>
      <c r="K454" s="1" t="s">
        <v>22</v>
      </c>
      <c r="L454" s="1" t="str">
        <f>HYPERLINK("https://files.afu.se/Downloads/Transcripts/0%20-%20Government/USA%20-%20NASA%20Kennedy/2018 11 26 - NASA's Kennedy Space Center - Inside KSC! for Nov. 21, 2018_-Rp1As2v63Y - transcript (automated).pdf","Transcript Link")</f>
        <v>Transcript Link</v>
      </c>
      <c r="M454" s="2" t="str">
        <f>HYPERLINK("https://files.afu.se/Downloads/Transcripts/0%20-%20Government/USA%20-%20NASA%20Kennedy/2018 11 26 - NASA's Kennedy Space Center - Inside KSC! for Nov. 21, 2018_-Rp1As2v63Y - transcript (automated).pdf","Transcript Link")</f>
        <v>Transcript Link</v>
      </c>
    </row>
    <row r="455" ht="180" spans="1:13">
      <c r="A455" s="1" t="s">
        <v>2115</v>
      </c>
      <c r="B455" s="1" t="s">
        <v>13</v>
      </c>
      <c r="C455" s="4" t="s">
        <v>2116</v>
      </c>
      <c r="D455" s="1" t="s">
        <v>2117</v>
      </c>
      <c r="E455" s="1" t="s">
        <v>2118</v>
      </c>
      <c r="F455" s="4" t="s">
        <v>17</v>
      </c>
      <c r="G455" s="1" t="s">
        <v>18</v>
      </c>
      <c r="H455" s="1" t="s">
        <v>19</v>
      </c>
      <c r="I455" s="1" t="s">
        <v>20</v>
      </c>
      <c r="J455" s="1" t="s">
        <v>2119</v>
      </c>
      <c r="K455" s="1" t="s">
        <v>22</v>
      </c>
      <c r="L455" s="1" t="str">
        <f>HYPERLINK("https://files.afu.se/Downloads/Transcripts/0%20-%20Government/USA%20-%20NASA%20Kennedy/2018 11 20 - NASA's Kennedy Space Center - InSight Countdown to T-Zero  Lander to Study the 'Inner Space' of Mars_S42s1s3U77A - transcript (automated).pdf","Transcript Link")</f>
        <v>Transcript Link</v>
      </c>
      <c r="M455" s="2" t="str">
        <f>HYPERLINK("https://files.afu.se/Downloads/Transcripts/0%20-%20Government/USA%20-%20NASA%20Kennedy/2018 11 20 - NASA's Kennedy Space Center - InSight Countdown to T-Zero  Lander to Study the 'Inner Space' of Mars_S42s1s3U77A - transcript (automated).pdf","Transcript Link")</f>
        <v>Transcript Link</v>
      </c>
    </row>
    <row r="456" ht="180" spans="1:13">
      <c r="A456" s="1" t="s">
        <v>2115</v>
      </c>
      <c r="B456" s="1" t="s">
        <v>13</v>
      </c>
      <c r="C456" s="4" t="s">
        <v>2120</v>
      </c>
      <c r="D456" s="1" t="s">
        <v>2121</v>
      </c>
      <c r="E456" s="1" t="s">
        <v>2122</v>
      </c>
      <c r="F456" s="4" t="s">
        <v>17</v>
      </c>
      <c r="G456" s="1" t="s">
        <v>18</v>
      </c>
      <c r="H456" s="1" t="s">
        <v>19</v>
      </c>
      <c r="I456" s="1" t="s">
        <v>20</v>
      </c>
      <c r="J456" s="1" t="s">
        <v>2123</v>
      </c>
      <c r="K456" s="1" t="s">
        <v>22</v>
      </c>
      <c r="L456" s="1" t="str">
        <f>HYPERLINK("https://files.afu.se/Downloads/Transcripts/0%20-%20Government/USA%20-%20NASA%20Kennedy/2018 11 20 - NASA's Kennedy Space Center - Rocket Ranch Podcast E06  Starting Up the Space Station_nrjdAoXgb-M - transcript (automated).pdf","Transcript Link")</f>
        <v>Transcript Link</v>
      </c>
      <c r="M456" s="2" t="str">
        <f>HYPERLINK("https://files.afu.se/Downloads/Transcripts/0%20-%20Government/USA%20-%20NASA%20Kennedy/2018 11 20 - NASA's Kennedy Space Center - Rocket Ranch Podcast E06  Starting Up the Space Station_nrjdAoXgb-M - transcript (automated).pdf","Transcript Link")</f>
        <v>Transcript Link</v>
      </c>
    </row>
    <row r="457" ht="180" spans="1:13">
      <c r="A457" s="1" t="s">
        <v>2124</v>
      </c>
      <c r="B457" s="1" t="s">
        <v>13</v>
      </c>
      <c r="C457" s="4" t="s">
        <v>2125</v>
      </c>
      <c r="D457" s="1" t="s">
        <v>2126</v>
      </c>
      <c r="E457" s="1" t="s">
        <v>2127</v>
      </c>
      <c r="F457" s="4" t="s">
        <v>17</v>
      </c>
      <c r="G457" s="1" t="s">
        <v>18</v>
      </c>
      <c r="H457" s="1" t="s">
        <v>19</v>
      </c>
      <c r="I457" s="1" t="s">
        <v>20</v>
      </c>
      <c r="J457" s="1" t="s">
        <v>2128</v>
      </c>
      <c r="K457" s="1" t="s">
        <v>22</v>
      </c>
      <c r="L457" s="1" t="str">
        <f>HYPERLINK("https://files.afu.se/Downloads/Transcripts/0%20-%20Government/USA%20-%20NASA%20Kennedy/2018 11 16 - NASA's Kennedy Space Center - Inside KSC! for Nov. 16, 2018_iV3JcebcsJM - transcript (automated).pdf","Transcript Link")</f>
        <v>Transcript Link</v>
      </c>
      <c r="M457" s="2" t="str">
        <f>HYPERLINK("https://files.afu.se/Downloads/Transcripts/0%20-%20Government/USA%20-%20NASA%20Kennedy/2018 11 16 - NASA's Kennedy Space Center - Inside KSC! for Nov. 16, 2018_iV3JcebcsJM - transcript (automated).pdf","Transcript Link")</f>
        <v>Transcript Link</v>
      </c>
    </row>
    <row r="458" ht="180" spans="1:13">
      <c r="A458" s="1" t="s">
        <v>2129</v>
      </c>
      <c r="B458" s="1" t="s">
        <v>13</v>
      </c>
      <c r="C458" s="4" t="s">
        <v>2130</v>
      </c>
      <c r="D458" s="1" t="s">
        <v>2131</v>
      </c>
      <c r="E458" s="1" t="s">
        <v>2132</v>
      </c>
      <c r="F458" s="4" t="s">
        <v>17</v>
      </c>
      <c r="G458" s="1" t="s">
        <v>18</v>
      </c>
      <c r="H458" s="1" t="s">
        <v>19</v>
      </c>
      <c r="I458" s="1" t="s">
        <v>20</v>
      </c>
      <c r="J458" s="1" t="s">
        <v>2133</v>
      </c>
      <c r="K458" s="1" t="s">
        <v>22</v>
      </c>
      <c r="L458" s="1" t="str">
        <f>HYPERLINK("https://files.afu.se/Downloads/Transcripts/0%20-%20Government/USA%20-%20NASA%20Kennedy/2018 11 14 - NASA's Kennedy Space Center - Kennedy Space Center, Explore Partnerships_PpQypUuVBL8 - transcript (automated).pdf","Transcript Link")</f>
        <v>Transcript Link</v>
      </c>
      <c r="M458" s="2" t="str">
        <f>HYPERLINK("https://files.afu.se/Downloads/Transcripts/0%20-%20Government/USA%20-%20NASA%20Kennedy/2018 11 14 - NASA's Kennedy Space Center - Kennedy Space Center, Explore Partnerships_PpQypUuVBL8 - transcript (automated).pdf","Transcript Link")</f>
        <v>Transcript Link</v>
      </c>
    </row>
    <row r="459" ht="180" spans="1:13">
      <c r="A459" s="1" t="s">
        <v>2134</v>
      </c>
      <c r="B459" s="1" t="s">
        <v>13</v>
      </c>
      <c r="C459" s="4" t="s">
        <v>2135</v>
      </c>
      <c r="D459" s="1" t="s">
        <v>2136</v>
      </c>
      <c r="E459" s="1" t="s">
        <v>2137</v>
      </c>
      <c r="F459" s="4" t="s">
        <v>17</v>
      </c>
      <c r="G459" s="1" t="s">
        <v>18</v>
      </c>
      <c r="H459" s="1" t="s">
        <v>19</v>
      </c>
      <c r="I459" s="1" t="s">
        <v>20</v>
      </c>
      <c r="J459" s="1" t="s">
        <v>2138</v>
      </c>
      <c r="K459" s="1" t="s">
        <v>22</v>
      </c>
      <c r="L459" s="1" t="str">
        <f>HYPERLINK("https://files.afu.se/Downloads/Transcripts/0%20-%20Government/USA%20-%20NASA%20Kennedy/2018 11 09 - NASA's Kennedy Space Center - Inside KSC! for Nov. 9, 2018_WP-1JgYvxLI - transcript (automated).pdf","Transcript Link")</f>
        <v>Transcript Link</v>
      </c>
      <c r="M459" s="2" t="str">
        <f>HYPERLINK("https://files.afu.se/Downloads/Transcripts/0%20-%20Government/USA%20-%20NASA%20Kennedy/2018 11 09 - NASA's Kennedy Space Center - Inside KSC! for Nov. 9, 2018_WP-1JgYvxLI - transcript (automated).pdf","Transcript Link")</f>
        <v>Transcript Link</v>
      </c>
    </row>
    <row r="460" ht="180" spans="1:13">
      <c r="A460" s="1" t="s">
        <v>2139</v>
      </c>
      <c r="B460" s="1" t="s">
        <v>13</v>
      </c>
      <c r="C460" s="4" t="s">
        <v>2140</v>
      </c>
      <c r="D460" s="1" t="s">
        <v>2141</v>
      </c>
      <c r="E460" s="1" t="s">
        <v>2142</v>
      </c>
      <c r="F460" s="4" t="s">
        <v>17</v>
      </c>
      <c r="G460" s="1" t="s">
        <v>18</v>
      </c>
      <c r="H460" s="1" t="s">
        <v>19</v>
      </c>
      <c r="I460" s="1" t="s">
        <v>20</v>
      </c>
      <c r="J460" s="1" t="s">
        <v>2143</v>
      </c>
      <c r="K460" s="1" t="s">
        <v>22</v>
      </c>
      <c r="L460" s="1" t="str">
        <f>HYPERLINK("https://files.afu.se/Downloads/Transcripts/0%20-%20Government/USA%20-%20NASA%20Kennedy/2018 11 02 - NASA's Kennedy Space Center - Aerial Drone Footage Captures Recovery Test at Sunset_HFVXgl4SKz4 - transcript (automated).pdf","Transcript Link")</f>
        <v>Transcript Link</v>
      </c>
      <c r="M460" s="2" t="str">
        <f>HYPERLINK("https://files.afu.se/Downloads/Transcripts/0%20-%20Government/USA%20-%20NASA%20Kennedy/2018 11 02 - NASA's Kennedy Space Center - Aerial Drone Footage Captures Recovery Test at Sunset_HFVXgl4SKz4 - transcript (automated).pdf","Transcript Link")</f>
        <v>Transcript Link</v>
      </c>
    </row>
    <row r="461" ht="180" spans="1:13">
      <c r="A461" s="1" t="s">
        <v>2139</v>
      </c>
      <c r="B461" s="1" t="s">
        <v>13</v>
      </c>
      <c r="C461" s="4" t="s">
        <v>2144</v>
      </c>
      <c r="D461" s="1" t="s">
        <v>2145</v>
      </c>
      <c r="E461" s="1" t="s">
        <v>2146</v>
      </c>
      <c r="F461" s="4" t="s">
        <v>17</v>
      </c>
      <c r="G461" s="1" t="s">
        <v>18</v>
      </c>
      <c r="H461" s="1" t="s">
        <v>19</v>
      </c>
      <c r="I461" s="1" t="s">
        <v>20</v>
      </c>
      <c r="J461" s="1" t="s">
        <v>2147</v>
      </c>
      <c r="K461" s="1" t="s">
        <v>22</v>
      </c>
      <c r="L461" s="1" t="str">
        <f>HYPERLINK("https://files.afu.se/Downloads/Transcripts/0%20-%20Government/USA%20-%20NASA%20Kennedy/2018 11 02 - NASA's Kennedy Space Center - Inside KSC! for Nov. 2, 2018_uUwGGAIXxpg - transcript (automated).pdf","Transcript Link")</f>
        <v>Transcript Link</v>
      </c>
      <c r="M461" s="2" t="str">
        <f>HYPERLINK("https://files.afu.se/Downloads/Transcripts/0%20-%20Government/USA%20-%20NASA%20Kennedy/2018 11 02 - NASA's Kennedy Space Center - Inside KSC! for Nov. 2, 2018_uUwGGAIXxpg - transcript (automated).pdf","Transcript Link")</f>
        <v>Transcript Link</v>
      </c>
    </row>
    <row r="462" ht="180" spans="1:13">
      <c r="A462" s="1" t="s">
        <v>2148</v>
      </c>
      <c r="B462" s="1" t="s">
        <v>13</v>
      </c>
      <c r="C462" s="4" t="s">
        <v>2149</v>
      </c>
      <c r="D462" s="1" t="s">
        <v>2150</v>
      </c>
      <c r="E462" s="1" t="s">
        <v>2151</v>
      </c>
      <c r="F462" s="4" t="s">
        <v>17</v>
      </c>
      <c r="G462" s="1" t="s">
        <v>18</v>
      </c>
      <c r="H462" s="1" t="s">
        <v>19</v>
      </c>
      <c r="I462" s="1" t="s">
        <v>20</v>
      </c>
      <c r="J462" s="1" t="s">
        <v>2152</v>
      </c>
      <c r="K462" s="1" t="s">
        <v>22</v>
      </c>
      <c r="L462" s="1" t="str">
        <f>HYPERLINK("https://files.afu.se/Downloads/Transcripts/0%20-%20Government/USA%20-%20NASA%20Kennedy/2018 10 26 - NASA's Kennedy Space Center - Inside KSC! for Oct. 26, 2018_8dtd85YKkAs - transcript (automated).pdf","Transcript Link")</f>
        <v>Transcript Link</v>
      </c>
      <c r="M462" s="2" t="str">
        <f>HYPERLINK("https://files.afu.se/Downloads/Transcripts/0%20-%20Government/USA%20-%20NASA%20Kennedy/2018 10 26 - NASA's Kennedy Space Center - Inside KSC! for Oct. 26, 2018_8dtd85YKkAs - transcript (automated).pdf","Transcript Link")</f>
        <v>Transcript Link</v>
      </c>
    </row>
    <row r="463" ht="180" spans="1:13">
      <c r="A463" s="1" t="s">
        <v>2148</v>
      </c>
      <c r="B463" s="1" t="s">
        <v>13</v>
      </c>
      <c r="C463" s="4" t="s">
        <v>2153</v>
      </c>
      <c r="D463" s="1" t="s">
        <v>2154</v>
      </c>
      <c r="E463" s="1" t="s">
        <v>4</v>
      </c>
      <c r="F463" s="4" t="s">
        <v>17</v>
      </c>
      <c r="G463" s="1" t="s">
        <v>18</v>
      </c>
      <c r="H463" s="1" t="s">
        <v>19</v>
      </c>
      <c r="I463" s="1" t="s">
        <v>20</v>
      </c>
      <c r="J463" s="1" t="s">
        <v>2155</v>
      </c>
      <c r="K463" s="1" t="s">
        <v>22</v>
      </c>
      <c r="L463" s="1" t="str">
        <f>HYPERLINK("https://files.afu.se/Downloads/Transcripts/0%20-%20Government/USA%20-%20NASA%20Kennedy/2018 10 26 - NASA's Kennedy Space Center - TAKING OUT THE TRASH ON THE INTERNATIONAL SPACE STATION WITH KOICHI WAKATA_0YXq-aDsZQs - transcript (automated).pdf","Transcript Link")</f>
        <v>Transcript Link</v>
      </c>
      <c r="M463" s="2" t="str">
        <f>HYPERLINK("https://files.afu.se/Downloads/Transcripts/0%20-%20Government/USA%20-%20NASA%20Kennedy/2018 10 26 - NASA's Kennedy Space Center - TAKING OUT THE TRASH ON THE INTERNATIONAL SPACE STATION WITH KOICHI WAKATA_0YXq-aDsZQs - transcript (automated).pdf","Transcript Link")</f>
        <v>Transcript Link</v>
      </c>
    </row>
    <row r="464" ht="180" spans="1:13">
      <c r="A464" s="1" t="s">
        <v>2156</v>
      </c>
      <c r="B464" s="1" t="s">
        <v>13</v>
      </c>
      <c r="C464" s="4" t="s">
        <v>2157</v>
      </c>
      <c r="D464" s="1" t="s">
        <v>2158</v>
      </c>
      <c r="E464" s="1" t="s">
        <v>2159</v>
      </c>
      <c r="F464" s="4" t="s">
        <v>17</v>
      </c>
      <c r="G464" s="1" t="s">
        <v>18</v>
      </c>
      <c r="H464" s="1" t="s">
        <v>19</v>
      </c>
      <c r="I464" s="1" t="s">
        <v>20</v>
      </c>
      <c r="J464" s="1" t="s">
        <v>2160</v>
      </c>
      <c r="K464" s="1" t="s">
        <v>22</v>
      </c>
      <c r="L464" s="1" t="str">
        <f>HYPERLINK("https://files.afu.se/Downloads/Transcripts/0%20-%20Government/USA%20-%20NASA%20Kennedy/2018 10 25 - NASA's Kennedy Space Center - Rocket Ranch Podcast Episode 5  Odd Jobs Around the Ranch_ypK5m8EwSqo - transcript (automated).pdf","Transcript Link")</f>
        <v>Transcript Link</v>
      </c>
      <c r="M464" s="2" t="str">
        <f>HYPERLINK("https://files.afu.se/Downloads/Transcripts/0%20-%20Government/USA%20-%20NASA%20Kennedy/2018 10 25 - NASA's Kennedy Space Center - Rocket Ranch Podcast Episode 5  Odd Jobs Around the Ranch_ypK5m8EwSqo - transcript (automated).pdf","Transcript Link")</f>
        <v>Transcript Link</v>
      </c>
    </row>
    <row r="465" ht="180" spans="1:13">
      <c r="A465" s="1" t="s">
        <v>2161</v>
      </c>
      <c r="B465" s="1" t="s">
        <v>13</v>
      </c>
      <c r="C465" s="4" t="s">
        <v>2162</v>
      </c>
      <c r="D465" s="1" t="s">
        <v>2163</v>
      </c>
      <c r="E465" s="1" t="s">
        <v>2164</v>
      </c>
      <c r="F465" s="4" t="s">
        <v>17</v>
      </c>
      <c r="G465" s="1" t="s">
        <v>18</v>
      </c>
      <c r="H465" s="1" t="s">
        <v>19</v>
      </c>
      <c r="I465" s="1" t="s">
        <v>20</v>
      </c>
      <c r="J465" s="1" t="s">
        <v>2165</v>
      </c>
      <c r="K465" s="1" t="s">
        <v>22</v>
      </c>
      <c r="L465" s="1" t="str">
        <f>HYPERLINK("https://files.afu.se/Downloads/Transcripts/0%20-%20Government/USA%20-%20NASA%20Kennedy/2018 10 19 - NASA's Kennedy Space Center - Inside KSC! for Oct. 19, 2018_37OeHMr9yPg - transcript (automated).pdf","Transcript Link")</f>
        <v>Transcript Link</v>
      </c>
      <c r="M465" s="2" t="str">
        <f>HYPERLINK("https://files.afu.se/Downloads/Transcripts/0%20-%20Government/USA%20-%20NASA%20Kennedy/2018 10 19 - NASA's Kennedy Space Center - Inside KSC! for Oct. 19, 2018_37OeHMr9yPg - transcript (automated).pdf","Transcript Link")</f>
        <v>Transcript Link</v>
      </c>
    </row>
    <row r="466" ht="180" spans="1:13">
      <c r="A466" s="1" t="s">
        <v>2166</v>
      </c>
      <c r="B466" s="1" t="s">
        <v>13</v>
      </c>
      <c r="C466" s="4" t="s">
        <v>2167</v>
      </c>
      <c r="D466" s="1" t="s">
        <v>2168</v>
      </c>
      <c r="E466" s="1" t="s">
        <v>2169</v>
      </c>
      <c r="F466" s="4" t="s">
        <v>17</v>
      </c>
      <c r="G466" s="1" t="s">
        <v>18</v>
      </c>
      <c r="H466" s="1" t="s">
        <v>19</v>
      </c>
      <c r="I466" s="1" t="s">
        <v>20</v>
      </c>
      <c r="J466" s="1" t="s">
        <v>2170</v>
      </c>
      <c r="K466" s="1" t="s">
        <v>22</v>
      </c>
      <c r="L466" s="1" t="str">
        <f>HYPERLINK("https://files.afu.se/Downloads/Transcripts/0%20-%20Government/USA%20-%20NASA%20Kennedy/2018 10 15 - NASA's Kennedy Space Center - Exploration Research and Technology Spotlight on Paul Hintze_ZCk5sLrEAJA - transcript (automated).pdf","Transcript Link")</f>
        <v>Transcript Link</v>
      </c>
      <c r="M466" s="2" t="str">
        <f>HYPERLINK("https://files.afu.se/Downloads/Transcripts/0%20-%20Government/USA%20-%20NASA%20Kennedy/2018 10 15 - NASA's Kennedy Space Center - Exploration Research and Technology Spotlight on Paul Hintze_ZCk5sLrEAJA - transcript (automated).pdf","Transcript Link")</f>
        <v>Transcript Link</v>
      </c>
    </row>
    <row r="467" ht="180" spans="1:13">
      <c r="A467" s="1" t="s">
        <v>2171</v>
      </c>
      <c r="B467" s="1" t="s">
        <v>13</v>
      </c>
      <c r="C467" s="4" t="s">
        <v>2172</v>
      </c>
      <c r="D467" s="1" t="s">
        <v>2173</v>
      </c>
      <c r="E467" s="1" t="s">
        <v>2174</v>
      </c>
      <c r="F467" s="4" t="s">
        <v>17</v>
      </c>
      <c r="G467" s="1" t="s">
        <v>18</v>
      </c>
      <c r="H467" s="1" t="s">
        <v>19</v>
      </c>
      <c r="I467" s="1" t="s">
        <v>20</v>
      </c>
      <c r="J467" s="1" t="s">
        <v>2175</v>
      </c>
      <c r="K467" s="1" t="s">
        <v>22</v>
      </c>
      <c r="L467" s="1" t="str">
        <f>HYPERLINK("https://files.afu.se/Downloads/Transcripts/0%20-%20Government/USA%20-%20NASA%20Kennedy/2018 10 12 - NASA's Kennedy Space Center - Inside KSC! for Oct. 12, 2018_618gaC7S_Xg - transcript (automated).pdf","Transcript Link")</f>
        <v>Transcript Link</v>
      </c>
      <c r="M467" s="2" t="str">
        <f>HYPERLINK("https://files.afu.se/Downloads/Transcripts/0%20-%20Government/USA%20-%20NASA%20Kennedy/2018 10 12 - NASA's Kennedy Space Center - Inside KSC! for Oct. 12, 2018_618gaC7S_Xg - transcript (automated).pdf","Transcript Link")</f>
        <v>Transcript Link</v>
      </c>
    </row>
    <row r="468" ht="180" spans="1:13">
      <c r="A468" s="1" t="s">
        <v>2176</v>
      </c>
      <c r="B468" s="1" t="s">
        <v>13</v>
      </c>
      <c r="C468" s="4" t="s">
        <v>2177</v>
      </c>
      <c r="D468" s="1" t="s">
        <v>2178</v>
      </c>
      <c r="E468" s="1" t="s">
        <v>2179</v>
      </c>
      <c r="F468" s="4" t="s">
        <v>17</v>
      </c>
      <c r="G468" s="1" t="s">
        <v>18</v>
      </c>
      <c r="H468" s="1" t="s">
        <v>19</v>
      </c>
      <c r="I468" s="1" t="s">
        <v>20</v>
      </c>
      <c r="J468" s="1" t="s">
        <v>2180</v>
      </c>
      <c r="K468" s="1" t="s">
        <v>22</v>
      </c>
      <c r="L468" s="1" t="str">
        <f>HYPERLINK("https://files.afu.se/Downloads/Transcripts/0%20-%20Government/USA%20-%20NASA%20Kennedy/2018 10 10 - NASA's Kennedy Space Center - Commercial Crew  Dawn of a New Space Age_5qrUVh-Xev8 - transcript (automated).pdf","Transcript Link")</f>
        <v>Transcript Link</v>
      </c>
      <c r="M468" s="2" t="str">
        <f>HYPERLINK("https://files.afu.se/Downloads/Transcripts/0%20-%20Government/USA%20-%20NASA%20Kennedy/2018 10 10 - NASA's Kennedy Space Center - Commercial Crew  Dawn of a New Space Age_5qrUVh-Xev8 - transcript (automated).pdf","Transcript Link")</f>
        <v>Transcript Link</v>
      </c>
    </row>
    <row r="469" ht="180" spans="1:13">
      <c r="A469" s="1" t="s">
        <v>2181</v>
      </c>
      <c r="B469" s="1" t="s">
        <v>13</v>
      </c>
      <c r="C469" s="4" t="s">
        <v>2182</v>
      </c>
      <c r="D469" s="1" t="s">
        <v>2183</v>
      </c>
      <c r="E469" s="1" t="s">
        <v>2184</v>
      </c>
      <c r="F469" s="4" t="s">
        <v>17</v>
      </c>
      <c r="G469" s="1" t="s">
        <v>18</v>
      </c>
      <c r="H469" s="1" t="s">
        <v>19</v>
      </c>
      <c r="I469" s="1" t="s">
        <v>20</v>
      </c>
      <c r="J469" s="1" t="s">
        <v>2185</v>
      </c>
      <c r="K469" s="1" t="s">
        <v>22</v>
      </c>
      <c r="L469" s="1" t="str">
        <f>HYPERLINK("https://files.afu.se/Downloads/Transcripts/0%20-%20Government/USA%20-%20NASA%20Kennedy/2018 10 05 - NASA's Kennedy Space Center - Inside KSC! for Oct. 5, 2018_xem0tM3Fl7I - transcript (automated).pdf","Transcript Link")</f>
        <v>Transcript Link</v>
      </c>
      <c r="M469" s="2" t="str">
        <f>HYPERLINK("https://files.afu.se/Downloads/Transcripts/0%20-%20Government/USA%20-%20NASA%20Kennedy/2018 10 05 - NASA's Kennedy Space Center - Inside KSC! for Oct. 5, 2018_xem0tM3Fl7I - transcript (automated).pdf","Transcript Link")</f>
        <v>Transcript Link</v>
      </c>
    </row>
    <row r="470" ht="180" spans="1:13">
      <c r="A470" s="1" t="s">
        <v>2186</v>
      </c>
      <c r="B470" s="1" t="s">
        <v>13</v>
      </c>
      <c r="C470" s="4" t="s">
        <v>2187</v>
      </c>
      <c r="D470" s="1" t="s">
        <v>2188</v>
      </c>
      <c r="E470" s="1" t="s">
        <v>2189</v>
      </c>
      <c r="F470" s="4" t="s">
        <v>17</v>
      </c>
      <c r="G470" s="1" t="s">
        <v>18</v>
      </c>
      <c r="H470" s="1" t="s">
        <v>19</v>
      </c>
      <c r="I470" s="1" t="s">
        <v>20</v>
      </c>
      <c r="J470" s="1" t="s">
        <v>2190</v>
      </c>
      <c r="K470" s="1" t="s">
        <v>22</v>
      </c>
      <c r="L470" s="1" t="str">
        <f>HYPERLINK("https://files.afu.se/Downloads/Transcripts/0%20-%20Government/USA%20-%20NASA%20Kennedy/2018 09 28 - NASA's Kennedy Space Center - Inside KSC! for Sept. 28, 2018_B5_zODAGx14 - transcript (automated).pdf","Transcript Link")</f>
        <v>Transcript Link</v>
      </c>
      <c r="M470" s="2" t="str">
        <f>HYPERLINK("https://files.afu.se/Downloads/Transcripts/0%20-%20Government/USA%20-%20NASA%20Kennedy/2018 09 28 - NASA's Kennedy Space Center - Inside KSC! for Sept. 28, 2018_B5_zODAGx14 - transcript (automated).pdf","Transcript Link")</f>
        <v>Transcript Link</v>
      </c>
    </row>
    <row r="471" ht="180" spans="1:13">
      <c r="A471" s="1" t="s">
        <v>2191</v>
      </c>
      <c r="B471" s="1" t="s">
        <v>13</v>
      </c>
      <c r="C471" s="4" t="s">
        <v>2192</v>
      </c>
      <c r="D471" s="1" t="s">
        <v>2193</v>
      </c>
      <c r="E471" s="1" t="s">
        <v>2194</v>
      </c>
      <c r="F471" s="4" t="s">
        <v>17</v>
      </c>
      <c r="G471" s="1" t="s">
        <v>18</v>
      </c>
      <c r="H471" s="1" t="s">
        <v>19</v>
      </c>
      <c r="I471" s="1" t="s">
        <v>20</v>
      </c>
      <c r="J471" s="1" t="s">
        <v>2195</v>
      </c>
      <c r="K471" s="1" t="s">
        <v>22</v>
      </c>
      <c r="L471" s="1" t="str">
        <f>HYPERLINK("https://files.afu.se/Downloads/Transcripts/0%20-%20Government/USA%20-%20NASA%20Kennedy/2018 09 26 - NASA's Kennedy Space Center - Commercial Crew  Supporting Critical Research_FCVJWNbhb14 - transcript (automated).pdf","Transcript Link")</f>
        <v>Transcript Link</v>
      </c>
      <c r="M471" s="2" t="str">
        <f>HYPERLINK("https://files.afu.se/Downloads/Transcripts/0%20-%20Government/USA%20-%20NASA%20Kennedy/2018 09 26 - NASA's Kennedy Space Center - Commercial Crew  Supporting Critical Research_FCVJWNbhb14 - transcript (automated).pdf","Transcript Link")</f>
        <v>Transcript Link</v>
      </c>
    </row>
    <row r="472" ht="180" spans="1:13">
      <c r="A472" s="1" t="s">
        <v>2196</v>
      </c>
      <c r="B472" s="1" t="s">
        <v>13</v>
      </c>
      <c r="C472" s="4" t="s">
        <v>2197</v>
      </c>
      <c r="D472" s="1" t="s">
        <v>2198</v>
      </c>
      <c r="E472" s="1" t="s">
        <v>2199</v>
      </c>
      <c r="F472" s="4" t="s">
        <v>17</v>
      </c>
      <c r="G472" s="1" t="s">
        <v>18</v>
      </c>
      <c r="H472" s="1" t="s">
        <v>19</v>
      </c>
      <c r="I472" s="1" t="s">
        <v>20</v>
      </c>
      <c r="J472" s="1" t="s">
        <v>2200</v>
      </c>
      <c r="K472" s="1" t="s">
        <v>22</v>
      </c>
      <c r="L472" s="1" t="str">
        <f>HYPERLINK("https://files.afu.se/Downloads/Transcripts/0%20-%20Government/USA%20-%20NASA%20Kennedy/2018 09 25 - NASA's Kennedy Space Center - Rocket Ranch Podcast Episode 4  Rocket Roundup_zcZ-KRfLK38 - transcript (automated).pdf","Transcript Link")</f>
        <v>Transcript Link</v>
      </c>
      <c r="M472" s="2" t="str">
        <f>HYPERLINK("https://files.afu.se/Downloads/Transcripts/0%20-%20Government/USA%20-%20NASA%20Kennedy/2018 09 25 - NASA's Kennedy Space Center - Rocket Ranch Podcast Episode 4  Rocket Roundup_zcZ-KRfLK38 - transcript (automated).pdf","Transcript Link")</f>
        <v>Transcript Link</v>
      </c>
    </row>
    <row r="473" ht="180" spans="1:13">
      <c r="A473" s="1" t="s">
        <v>2201</v>
      </c>
      <c r="B473" s="1" t="s">
        <v>13</v>
      </c>
      <c r="C473" s="4" t="s">
        <v>2202</v>
      </c>
      <c r="D473" s="1" t="s">
        <v>2203</v>
      </c>
      <c r="E473" s="1" t="s">
        <v>2204</v>
      </c>
      <c r="F473" s="4" t="s">
        <v>17</v>
      </c>
      <c r="G473" s="1" t="s">
        <v>18</v>
      </c>
      <c r="H473" s="1" t="s">
        <v>19</v>
      </c>
      <c r="I473" s="1" t="s">
        <v>20</v>
      </c>
      <c r="J473" s="1" t="s">
        <v>2205</v>
      </c>
      <c r="K473" s="1" t="s">
        <v>22</v>
      </c>
      <c r="L473" s="1" t="str">
        <f>HYPERLINK("https://files.afu.se/Downloads/Transcripts/0%20-%20Government/USA%20-%20NASA%20Kennedy/2018 09 24 - NASA's Kennedy Space Center - TESS Countdown to T-Zero  NASA's Next Planet-Hunter_tTjKSDuF5r4 - transcript (automated).pdf","Transcript Link")</f>
        <v>Transcript Link</v>
      </c>
      <c r="M473" s="2" t="str">
        <f>HYPERLINK("https://files.afu.se/Downloads/Transcripts/0%20-%20Government/USA%20-%20NASA%20Kennedy/2018 09 24 - NASA's Kennedy Space Center - TESS Countdown to T-Zero  NASA's Next Planet-Hunter_tTjKSDuF5r4 - transcript (automated).pdf","Transcript Link")</f>
        <v>Transcript Link</v>
      </c>
    </row>
    <row r="474" ht="180" spans="1:13">
      <c r="A474" s="1" t="s">
        <v>2206</v>
      </c>
      <c r="B474" s="1" t="s">
        <v>13</v>
      </c>
      <c r="C474" s="4" t="s">
        <v>2207</v>
      </c>
      <c r="D474" s="1" t="s">
        <v>2208</v>
      </c>
      <c r="E474" s="1" t="s">
        <v>2209</v>
      </c>
      <c r="F474" s="4" t="s">
        <v>17</v>
      </c>
      <c r="G474" s="1" t="s">
        <v>18</v>
      </c>
      <c r="H474" s="1" t="s">
        <v>19</v>
      </c>
      <c r="I474" s="1" t="s">
        <v>20</v>
      </c>
      <c r="J474" s="1" t="s">
        <v>2210</v>
      </c>
      <c r="K474" s="1" t="s">
        <v>22</v>
      </c>
      <c r="L474" s="1" t="str">
        <f>HYPERLINK("https://files.afu.se/Downloads/Transcripts/0%20-%20Government/USA%20-%20NASA%20Kennedy/2018 09 21 - NASA's Kennedy Space Center - Inside KSC! for Sept. 21, 2018_iVAZZsUbw7M - transcript (automated).pdf","Transcript Link")</f>
        <v>Transcript Link</v>
      </c>
      <c r="M474" s="2" t="str">
        <f>HYPERLINK("https://files.afu.se/Downloads/Transcripts/0%20-%20Government/USA%20-%20NASA%20Kennedy/2018 09 21 - NASA's Kennedy Space Center - Inside KSC! for Sept. 21, 2018_iVAZZsUbw7M - transcript (automated).pdf","Transcript Link")</f>
        <v>Transcript Link</v>
      </c>
    </row>
    <row r="475" ht="180" spans="1:13">
      <c r="A475" s="1" t="s">
        <v>2211</v>
      </c>
      <c r="B475" s="1" t="s">
        <v>13</v>
      </c>
      <c r="C475" s="4" t="s">
        <v>2212</v>
      </c>
      <c r="D475" s="1" t="s">
        <v>2213</v>
      </c>
      <c r="E475" s="1" t="s">
        <v>2214</v>
      </c>
      <c r="F475" s="4" t="s">
        <v>17</v>
      </c>
      <c r="G475" s="1" t="s">
        <v>18</v>
      </c>
      <c r="H475" s="1" t="s">
        <v>19</v>
      </c>
      <c r="I475" s="1" t="s">
        <v>20</v>
      </c>
      <c r="J475" s="1" t="s">
        <v>2215</v>
      </c>
      <c r="K475" s="1" t="s">
        <v>22</v>
      </c>
      <c r="L475" s="1" t="str">
        <f>HYPERLINK("https://files.afu.se/Downloads/Transcripts/0%20-%20Government/USA%20-%20NASA%20Kennedy/2018 09 19 - NASA's Kennedy Space Center - Countdown to T-Zero  Now Flying Faster, Hotter and Closer Than Ever to the Sun_Yif4iu4QDNI - transcript (automated).pdf","Transcript Link")</f>
        <v>Transcript Link</v>
      </c>
      <c r="M475" s="2" t="str">
        <f>HYPERLINK("https://files.afu.se/Downloads/Transcripts/0%20-%20Government/USA%20-%20NASA%20Kennedy/2018 09 19 - NASA's Kennedy Space Center - Countdown to T-Zero  Now Flying Faster, Hotter and Closer Than Ever to the Sun_Yif4iu4QDNI - transcript (automated).pdf","Transcript Link")</f>
        <v>Transcript Link</v>
      </c>
    </row>
    <row r="476" ht="180" spans="1:13">
      <c r="A476" s="1" t="s">
        <v>2216</v>
      </c>
      <c r="B476" s="1" t="s">
        <v>13</v>
      </c>
      <c r="C476" s="4" t="s">
        <v>2217</v>
      </c>
      <c r="D476" s="1" t="s">
        <v>2218</v>
      </c>
      <c r="E476" s="1" t="s">
        <v>2219</v>
      </c>
      <c r="F476" s="4" t="s">
        <v>17</v>
      </c>
      <c r="G476" s="1" t="s">
        <v>18</v>
      </c>
      <c r="H476" s="1" t="s">
        <v>19</v>
      </c>
      <c r="I476" s="1" t="s">
        <v>20</v>
      </c>
      <c r="J476" s="1" t="s">
        <v>2220</v>
      </c>
      <c r="K476" s="1" t="s">
        <v>22</v>
      </c>
      <c r="L476" s="1" t="str">
        <f>HYPERLINK("https://files.afu.se/Downloads/Transcripts/0%20-%20Government/USA%20-%20NASA%20Kennedy/2018 09 15 - NASA's Kennedy Space Center - Interview with NASA Launch Director_grfJgdiD1aM - transcript (automated).pdf","Transcript Link")</f>
        <v>Transcript Link</v>
      </c>
      <c r="M476" s="2" t="str">
        <f>HYPERLINK("https://files.afu.se/Downloads/Transcripts/0%20-%20Government/USA%20-%20NASA%20Kennedy/2018 09 15 - NASA's Kennedy Space Center - Interview with NASA Launch Director_grfJgdiD1aM - transcript (automated).pdf","Transcript Link")</f>
        <v>Transcript Link</v>
      </c>
    </row>
    <row r="477" ht="180" spans="1:13">
      <c r="A477" s="1" t="s">
        <v>2216</v>
      </c>
      <c r="B477" s="1" t="s">
        <v>13</v>
      </c>
      <c r="C477" s="4" t="s">
        <v>2221</v>
      </c>
      <c r="D477" s="1" t="s">
        <v>2222</v>
      </c>
      <c r="E477" s="1" t="s">
        <v>2223</v>
      </c>
      <c r="F477" s="4" t="s">
        <v>17</v>
      </c>
      <c r="G477" s="1" t="s">
        <v>18</v>
      </c>
      <c r="H477" s="1" t="s">
        <v>19</v>
      </c>
      <c r="I477" s="1" t="s">
        <v>20</v>
      </c>
      <c r="J477" s="1" t="s">
        <v>2224</v>
      </c>
      <c r="K477" s="1" t="s">
        <v>22</v>
      </c>
      <c r="L477" s="1" t="str">
        <f>HYPERLINK("https://files.afu.se/Downloads/Transcripts/0%20-%20Government/USA%20-%20NASA%20Kennedy/2018 09 15 - NASA's Kennedy Space Center - NASA's ICESat-2 Separates from Upper Stage_Y0Vs_nrPZK8 - transcript (automated).pdf","Transcript Link")</f>
        <v>Transcript Link</v>
      </c>
      <c r="M477" s="2" t="str">
        <f>HYPERLINK("https://files.afu.se/Downloads/Transcripts/0%20-%20Government/USA%20-%20NASA%20Kennedy/2018 09 15 - NASA's Kennedy Space Center - NASA's ICESat-2 Separates from Upper Stage_Y0Vs_nrPZK8 - transcript (automated).pdf","Transcript Link")</f>
        <v>Transcript Link</v>
      </c>
    </row>
    <row r="478" ht="180" spans="1:13">
      <c r="A478" s="1" t="s">
        <v>2216</v>
      </c>
      <c r="B478" s="1" t="s">
        <v>13</v>
      </c>
      <c r="C478" s="4" t="s">
        <v>2225</v>
      </c>
      <c r="D478" s="1" t="s">
        <v>2226</v>
      </c>
      <c r="E478" s="1" t="s">
        <v>2227</v>
      </c>
      <c r="F478" s="4" t="s">
        <v>17</v>
      </c>
      <c r="G478" s="1" t="s">
        <v>18</v>
      </c>
      <c r="H478" s="1" t="s">
        <v>19</v>
      </c>
      <c r="I478" s="1" t="s">
        <v>20</v>
      </c>
      <c r="J478" s="1" t="s">
        <v>2228</v>
      </c>
      <c r="K478" s="1" t="s">
        <v>22</v>
      </c>
      <c r="L478" s="1" t="str">
        <f>HYPERLINK("https://files.afu.se/Downloads/Transcripts/0%20-%20Government/USA%20-%20NASA%20Kennedy/2018 09 15 - NASA's Kennedy Space Center - Liftoff of NASA's ICESat-2_vwoq-4Ys46Y - transcript (automated).pdf","Transcript Link")</f>
        <v>Transcript Link</v>
      </c>
      <c r="M478" s="2" t="str">
        <f>HYPERLINK("https://files.afu.se/Downloads/Transcripts/0%20-%20Government/USA%20-%20NASA%20Kennedy/2018 09 15 - NASA's Kennedy Space Center - Liftoff of NASA's ICESat-2_vwoq-4Ys46Y - transcript (automated).pdf","Transcript Link")</f>
        <v>Transcript Link</v>
      </c>
    </row>
    <row r="479" ht="180" spans="1:13">
      <c r="A479" s="1" t="s">
        <v>2216</v>
      </c>
      <c r="B479" s="1" t="s">
        <v>13</v>
      </c>
      <c r="C479" s="4" t="s">
        <v>2229</v>
      </c>
      <c r="D479" s="1" t="s">
        <v>2230</v>
      </c>
      <c r="E479" s="1" t="s">
        <v>2231</v>
      </c>
      <c r="F479" s="4" t="s">
        <v>17</v>
      </c>
      <c r="G479" s="1" t="s">
        <v>18</v>
      </c>
      <c r="H479" s="1" t="s">
        <v>19</v>
      </c>
      <c r="I479" s="1" t="s">
        <v>20</v>
      </c>
      <c r="J479" s="1" t="s">
        <v>2232</v>
      </c>
      <c r="K479" s="1" t="s">
        <v>22</v>
      </c>
      <c r="L479" s="1" t="str">
        <f>HYPERLINK("https://files.afu.se/Downloads/Transcripts/0%20-%20Government/USA%20-%20NASA%20Kennedy/2018 09 15 - NASA's Kennedy Space Center - ICESat-2, Delta II Countdown Poll_fuT-dOUuN9Q - transcript (automated).pdf","Transcript Link")</f>
        <v>Transcript Link</v>
      </c>
      <c r="M479" s="2" t="str">
        <f>HYPERLINK("https://files.afu.se/Downloads/Transcripts/0%20-%20Government/USA%20-%20NASA%20Kennedy/2018 09 15 - NASA's Kennedy Space Center - ICESat-2, Delta II Countdown Poll_fuT-dOUuN9Q - transcript (automated).pdf","Transcript Link")</f>
        <v>Transcript Link</v>
      </c>
    </row>
    <row r="480" ht="180" spans="1:13">
      <c r="A480" s="1" t="s">
        <v>2216</v>
      </c>
      <c r="B480" s="1" t="s">
        <v>13</v>
      </c>
      <c r="C480" s="4" t="s">
        <v>2233</v>
      </c>
      <c r="D480" s="1" t="s">
        <v>2234</v>
      </c>
      <c r="E480" s="1" t="s">
        <v>2235</v>
      </c>
      <c r="F480" s="4" t="s">
        <v>17</v>
      </c>
      <c r="G480" s="1" t="s">
        <v>18</v>
      </c>
      <c r="H480" s="1" t="s">
        <v>19</v>
      </c>
      <c r="I480" s="1" t="s">
        <v>20</v>
      </c>
      <c r="J480" s="1" t="s">
        <v>2236</v>
      </c>
      <c r="K480" s="1" t="s">
        <v>22</v>
      </c>
      <c r="L480" s="1" t="str">
        <f>HYPERLINK("https://files.afu.se/Downloads/Transcripts/0%20-%20Government/USA%20-%20NASA%20Kennedy/2018 09 15 - NASA's Kennedy Space Center - Countdown Underway for NASA's ICESat-2_igyU-7U1-mk - transcript (automated).pdf","Transcript Link")</f>
        <v>Transcript Link</v>
      </c>
      <c r="M480" s="2" t="str">
        <f>HYPERLINK("https://files.afu.se/Downloads/Transcripts/0%20-%20Government/USA%20-%20NASA%20Kennedy/2018 09 15 - NASA's Kennedy Space Center - Countdown Underway for NASA's ICESat-2_igyU-7U1-mk - transcript (automated).pdf","Transcript Link")</f>
        <v>Transcript Link</v>
      </c>
    </row>
    <row r="481" ht="180" spans="1:13">
      <c r="A481" s="1" t="s">
        <v>2237</v>
      </c>
      <c r="B481" s="1" t="s">
        <v>13</v>
      </c>
      <c r="C481" s="4" t="s">
        <v>2238</v>
      </c>
      <c r="D481" s="1" t="s">
        <v>2239</v>
      </c>
      <c r="E481" s="1" t="s">
        <v>2240</v>
      </c>
      <c r="F481" s="4" t="s">
        <v>17</v>
      </c>
      <c r="G481" s="1" t="s">
        <v>18</v>
      </c>
      <c r="H481" s="1" t="s">
        <v>19</v>
      </c>
      <c r="I481" s="1" t="s">
        <v>20</v>
      </c>
      <c r="J481" s="1" t="s">
        <v>2241</v>
      </c>
      <c r="K481" s="1" t="s">
        <v>22</v>
      </c>
      <c r="L481" s="1" t="str">
        <f>HYPERLINK("https://files.afu.se/Downloads/Transcripts/0%20-%20Government/USA%20-%20NASA%20Kennedy/2018 09 14 - NASA's Kennedy Space Center - Inside KSC! for Sept. 14, 2018_OXLmshN0V1M - transcript (automated).pdf","Transcript Link")</f>
        <v>Transcript Link</v>
      </c>
      <c r="M481" s="2" t="str">
        <f>HYPERLINK("https://files.afu.se/Downloads/Transcripts/0%20-%20Government/USA%20-%20NASA%20Kennedy/2018 09 14 - NASA's Kennedy Space Center - Inside KSC! for Sept. 14, 2018_OXLmshN0V1M - transcript (automated).pdf","Transcript Link")</f>
        <v>Transcript Link</v>
      </c>
    </row>
    <row r="482" ht="180" spans="1:13">
      <c r="A482" s="1" t="s">
        <v>2242</v>
      </c>
      <c r="B482" s="1" t="s">
        <v>13</v>
      </c>
      <c r="C482" s="4" t="s">
        <v>2243</v>
      </c>
      <c r="D482" s="1" t="s">
        <v>2244</v>
      </c>
      <c r="E482" s="1" t="s">
        <v>2245</v>
      </c>
      <c r="F482" s="4" t="s">
        <v>17</v>
      </c>
      <c r="G482" s="1" t="s">
        <v>18</v>
      </c>
      <c r="H482" s="1" t="s">
        <v>19</v>
      </c>
      <c r="I482" s="1" t="s">
        <v>20</v>
      </c>
      <c r="J482" s="1" t="s">
        <v>2246</v>
      </c>
      <c r="K482" s="1" t="s">
        <v>22</v>
      </c>
      <c r="L482" s="1" t="str">
        <f>HYPERLINK("https://files.afu.se/Downloads/Transcripts/0%20-%20Government/USA%20-%20NASA%20Kennedy/2018 09 13 - NASA's Kennedy Space Center - Mobile Launcher Moves Toward Exploration Mission-1_GEayXUlUars - transcript (automated).pdf","Transcript Link")</f>
        <v>Transcript Link</v>
      </c>
      <c r="M482" s="2" t="str">
        <f>HYPERLINK("https://files.afu.se/Downloads/Transcripts/0%20-%20Government/USA%20-%20NASA%20Kennedy/2018 09 13 - NASA's Kennedy Space Center - Mobile Launcher Moves Toward Exploration Mission-1_GEayXUlUars - transcript (automated).pdf","Transcript Link")</f>
        <v>Transcript Link</v>
      </c>
    </row>
    <row r="483" ht="180" spans="1:13">
      <c r="A483" s="1" t="s">
        <v>2242</v>
      </c>
      <c r="B483" s="1" t="s">
        <v>13</v>
      </c>
      <c r="C483" s="4" t="s">
        <v>2247</v>
      </c>
      <c r="D483" s="1" t="s">
        <v>2248</v>
      </c>
      <c r="E483" s="1" t="s">
        <v>2249</v>
      </c>
      <c r="F483" s="4" t="s">
        <v>17</v>
      </c>
      <c r="G483" s="1" t="s">
        <v>18</v>
      </c>
      <c r="H483" s="1" t="s">
        <v>19</v>
      </c>
      <c r="I483" s="1" t="s">
        <v>20</v>
      </c>
      <c r="J483" s="1" t="s">
        <v>2250</v>
      </c>
      <c r="K483" s="1" t="s">
        <v>22</v>
      </c>
      <c r="L483" s="1" t="str">
        <f>HYPERLINK("https://files.afu.se/Downloads/Transcripts/0%20-%20Government/USA%20-%20NASA%20Kennedy/2018 09 13 - NASA's Kennedy Space Center - Commercial Crew  Astronaut Flight Prep_gpouNl1sgqA - transcript (automated).pdf","Transcript Link")</f>
        <v>Transcript Link</v>
      </c>
      <c r="M483" s="2" t="str">
        <f>HYPERLINK("https://files.afu.se/Downloads/Transcripts/0%20-%20Government/USA%20-%20NASA%20Kennedy/2018 09 13 - NASA's Kennedy Space Center - Commercial Crew  Astronaut Flight Prep_gpouNl1sgqA - transcript (automated).pdf","Transcript Link")</f>
        <v>Transcript Link</v>
      </c>
    </row>
    <row r="484" ht="180" spans="1:13">
      <c r="A484" s="1" t="s">
        <v>2242</v>
      </c>
      <c r="B484" s="1" t="s">
        <v>13</v>
      </c>
      <c r="C484" s="4" t="s">
        <v>2251</v>
      </c>
      <c r="D484" s="1" t="s">
        <v>2252</v>
      </c>
      <c r="E484" s="1" t="s">
        <v>2253</v>
      </c>
      <c r="F484" s="4" t="s">
        <v>17</v>
      </c>
      <c r="G484" s="1" t="s">
        <v>18</v>
      </c>
      <c r="H484" s="1" t="s">
        <v>19</v>
      </c>
      <c r="I484" s="1" t="s">
        <v>20</v>
      </c>
      <c r="J484" s="1" t="s">
        <v>2254</v>
      </c>
      <c r="K484" s="1" t="s">
        <v>22</v>
      </c>
      <c r="L484" s="1" t="str">
        <f>HYPERLINK("https://files.afu.se/Downloads/Transcripts/0%20-%20Government/USA%20-%20NASA%20Kennedy/2018 09 13 - NASA's Kennedy Space Center - ML Moves Toward Exploration Mission1 Roll In Timelapse_NJbcJ5kSlCg - transcript (automated).pdf","Transcript Link")</f>
        <v>Transcript Link</v>
      </c>
      <c r="M484" s="2" t="str">
        <f>HYPERLINK("https://files.afu.se/Downloads/Transcripts/0%20-%20Government/USA%20-%20NASA%20Kennedy/2018 09 13 - NASA's Kennedy Space Center - ML Moves Toward Exploration Mission1 Roll In Timelapse_NJbcJ5kSlCg - transcript (automated).pdf","Transcript Link")</f>
        <v>Transcript Link</v>
      </c>
    </row>
    <row r="485" ht="180" spans="1:13">
      <c r="A485" s="1" t="s">
        <v>2255</v>
      </c>
      <c r="B485" s="1" t="s">
        <v>13</v>
      </c>
      <c r="C485" s="4" t="s">
        <v>2256</v>
      </c>
      <c r="D485" s="1" t="s">
        <v>2257</v>
      </c>
      <c r="E485" s="1" t="s">
        <v>2258</v>
      </c>
      <c r="F485" s="4" t="s">
        <v>17</v>
      </c>
      <c r="G485" s="1" t="s">
        <v>18</v>
      </c>
      <c r="H485" s="1" t="s">
        <v>19</v>
      </c>
      <c r="I485" s="1" t="s">
        <v>20</v>
      </c>
      <c r="J485" s="1" t="s">
        <v>2259</v>
      </c>
      <c r="K485" s="1" t="s">
        <v>22</v>
      </c>
      <c r="L485" s="1" t="str">
        <f>HYPERLINK("https://files.afu.se/Downloads/Transcripts/0%20-%20Government/USA%20-%20NASA%20Kennedy/2018 09 07 - NASA's Kennedy Space Center - Inside KSC! for Sept. 7, 2018_JAVX1ia7mEI - transcript (automated).pdf","Transcript Link")</f>
        <v>Transcript Link</v>
      </c>
      <c r="M485" s="2" t="str">
        <f>HYPERLINK("https://files.afu.se/Downloads/Transcripts/0%20-%20Government/USA%20-%20NASA%20Kennedy/2018 09 07 - NASA's Kennedy Space Center - Inside KSC! for Sept. 7, 2018_JAVX1ia7mEI - transcript (automated).pdf","Transcript Link")</f>
        <v>Transcript Link</v>
      </c>
    </row>
    <row r="486" ht="180" spans="1:13">
      <c r="A486" s="1" t="s">
        <v>2260</v>
      </c>
      <c r="B486" s="1" t="s">
        <v>13</v>
      </c>
      <c r="C486" s="4" t="s">
        <v>2261</v>
      </c>
      <c r="D486" s="1" t="s">
        <v>2262</v>
      </c>
      <c r="E486" s="1" t="s">
        <v>2263</v>
      </c>
      <c r="F486" s="4" t="s">
        <v>17</v>
      </c>
      <c r="G486" s="1" t="s">
        <v>18</v>
      </c>
      <c r="H486" s="1" t="s">
        <v>19</v>
      </c>
      <c r="I486" s="1" t="s">
        <v>20</v>
      </c>
      <c r="J486" s="1" t="s">
        <v>2264</v>
      </c>
      <c r="K486" s="1" t="s">
        <v>22</v>
      </c>
      <c r="L486" s="1" t="str">
        <f>HYPERLINK("https://files.afu.se/Downloads/Transcripts/0%20-%20Government/USA%20-%20NASA%20Kennedy/2018 09 06 - NASA's Kennedy Space Center - NASA -  Preparing For an Active Shooter Emergency_HTtj3m5hIwE - transcript (automated).pdf","Transcript Link")</f>
        <v>Transcript Link</v>
      </c>
      <c r="M486" s="2" t="str">
        <f>HYPERLINK("https://files.afu.se/Downloads/Transcripts/0%20-%20Government/USA%20-%20NASA%20Kennedy/2018 09 06 - NASA's Kennedy Space Center - NASA -  Preparing For an Active Shooter Emergency_HTtj3m5hIwE - transcript (automated).pdf","Transcript Link")</f>
        <v>Transcript Link</v>
      </c>
    </row>
    <row r="487" ht="180" spans="1:13">
      <c r="A487" s="1" t="s">
        <v>2265</v>
      </c>
      <c r="B487" s="1" t="s">
        <v>13</v>
      </c>
      <c r="C487" s="4" t="s">
        <v>2266</v>
      </c>
      <c r="D487" s="1" t="s">
        <v>2267</v>
      </c>
      <c r="E487" s="1" t="s">
        <v>2268</v>
      </c>
      <c r="F487" s="4" t="s">
        <v>17</v>
      </c>
      <c r="G487" s="1" t="s">
        <v>18</v>
      </c>
      <c r="H487" s="1" t="s">
        <v>19</v>
      </c>
      <c r="I487" s="1" t="s">
        <v>20</v>
      </c>
      <c r="J487" s="1" t="s">
        <v>2269</v>
      </c>
      <c r="K487" s="1" t="s">
        <v>22</v>
      </c>
      <c r="L487" s="1" t="str">
        <f>HYPERLINK("https://files.afu.se/Downloads/Transcripts/0%20-%20Government/USA%20-%20NASA%20Kennedy/2018 09 05 - NASA's Kennedy Space Center - NASA’s Mission to ‘Kiss the Sun’ Launches in 360 Degrees_Kr78OOr2sCc - transcript (automated).pdf","Transcript Link")</f>
        <v>Transcript Link</v>
      </c>
      <c r="M487" s="2" t="str">
        <f>HYPERLINK("https://files.afu.se/Downloads/Transcripts/0%20-%20Government/USA%20-%20NASA%20Kennedy/2018 09 05 - NASA's Kennedy Space Center - NASA’s Mission to ‘Kiss the Sun’ Launches in 360 Degrees_Kr78OOr2sCc - transcript (automated).pdf","Transcript Link")</f>
        <v>Transcript Link</v>
      </c>
    </row>
    <row r="488" ht="180" spans="1:13">
      <c r="A488" s="1" t="s">
        <v>2270</v>
      </c>
      <c r="B488" s="1" t="s">
        <v>13</v>
      </c>
      <c r="C488" s="4" t="s">
        <v>2271</v>
      </c>
      <c r="D488" s="1" t="s">
        <v>2272</v>
      </c>
      <c r="E488" s="1" t="s">
        <v>2273</v>
      </c>
      <c r="F488" s="4" t="s">
        <v>17</v>
      </c>
      <c r="G488" s="1" t="s">
        <v>18</v>
      </c>
      <c r="H488" s="1" t="s">
        <v>19</v>
      </c>
      <c r="I488" s="1" t="s">
        <v>20</v>
      </c>
      <c r="J488" s="1" t="s">
        <v>2274</v>
      </c>
      <c r="K488" s="1" t="s">
        <v>22</v>
      </c>
      <c r="L488" s="1" t="str">
        <f>HYPERLINK("https://files.afu.se/Downloads/Transcripts/0%20-%20Government/USA%20-%20NASA%20Kennedy/2018 08 31 - NASA's Kennedy Space Center - Inside KSC! for Aug. 31, 2018_Tc0-Hhmgmm0 - transcript (automated).pdf","Transcript Link")</f>
        <v>Transcript Link</v>
      </c>
      <c r="M488" s="2" t="str">
        <f>HYPERLINK("https://files.afu.se/Downloads/Transcripts/0%20-%20Government/USA%20-%20NASA%20Kennedy/2018 08 31 - NASA's Kennedy Space Center - Inside KSC! for Aug. 31, 2018_Tc0-Hhmgmm0 - transcript (automated).pdf","Transcript Link")</f>
        <v>Transcript Link</v>
      </c>
    </row>
    <row r="489" ht="180" spans="1:13">
      <c r="A489" s="1" t="s">
        <v>2270</v>
      </c>
      <c r="B489" s="1" t="s">
        <v>13</v>
      </c>
      <c r="C489" s="4" t="s">
        <v>2275</v>
      </c>
      <c r="D489" s="1" t="s">
        <v>2276</v>
      </c>
      <c r="E489" s="1" t="s">
        <v>2277</v>
      </c>
      <c r="F489" s="4" t="s">
        <v>17</v>
      </c>
      <c r="G489" s="1" t="s">
        <v>18</v>
      </c>
      <c r="H489" s="1" t="s">
        <v>19</v>
      </c>
      <c r="I489" s="1" t="s">
        <v>20</v>
      </c>
      <c r="J489" s="1" t="s">
        <v>2278</v>
      </c>
      <c r="K489" s="1" t="s">
        <v>22</v>
      </c>
      <c r="L489" s="1" t="str">
        <f>HYPERLINK("https://files.afu.se/Downloads/Transcripts/0%20-%20Government/USA%20-%20NASA%20Kennedy/2018 08 31 - NASA's Kennedy Space Center - Commercial Crew  The Flight Tests_aoU5P2SSCho - transcript (automated).pdf","Transcript Link")</f>
        <v>Transcript Link</v>
      </c>
      <c r="M489" s="2" t="str">
        <f>HYPERLINK("https://files.afu.se/Downloads/Transcripts/0%20-%20Government/USA%20-%20NASA%20Kennedy/2018 08 31 - NASA's Kennedy Space Center - Commercial Crew  The Flight Tests_aoU5P2SSCho - transcript (automated).pdf","Transcript Link")</f>
        <v>Transcript Link</v>
      </c>
    </row>
    <row r="490" ht="180" spans="1:13">
      <c r="A490" s="1" t="s">
        <v>2279</v>
      </c>
      <c r="B490" s="1" t="s">
        <v>13</v>
      </c>
      <c r="C490" s="4" t="s">
        <v>2280</v>
      </c>
      <c r="D490" s="1" t="s">
        <v>2281</v>
      </c>
      <c r="E490" s="1" t="s">
        <v>2282</v>
      </c>
      <c r="F490" s="4" t="s">
        <v>17</v>
      </c>
      <c r="G490" s="1" t="s">
        <v>18</v>
      </c>
      <c r="H490" s="1" t="s">
        <v>19</v>
      </c>
      <c r="I490" s="1" t="s">
        <v>20</v>
      </c>
      <c r="J490" s="1" t="s">
        <v>2283</v>
      </c>
      <c r="K490" s="1" t="s">
        <v>22</v>
      </c>
      <c r="L490" s="1" t="str">
        <f>HYPERLINK("https://files.afu.se/Downloads/Transcripts/0%20-%20Government/USA%20-%20NASA%20Kennedy/2018 08 30 - NASA's Kennedy Space Center - Countdown to T-Zero  ICON Satellite to Study Space Weather_vwbOFkPuqhM - transcript (automated).pdf","Transcript Link")</f>
        <v>Transcript Link</v>
      </c>
      <c r="M490" s="2" t="str">
        <f>HYPERLINK("https://files.afu.se/Downloads/Transcripts/0%20-%20Government/USA%20-%20NASA%20Kennedy/2018 08 30 - NASA's Kennedy Space Center - Countdown to T-Zero  ICON Satellite to Study Space Weather_vwbOFkPuqhM - transcript (automated).pdf","Transcript Link")</f>
        <v>Transcript Link</v>
      </c>
    </row>
    <row r="491" ht="180" spans="1:13">
      <c r="A491" s="1" t="s">
        <v>2284</v>
      </c>
      <c r="B491" s="1" t="s">
        <v>13</v>
      </c>
      <c r="C491" s="4" t="s">
        <v>2285</v>
      </c>
      <c r="D491" s="1" t="s">
        <v>2286</v>
      </c>
      <c r="F491" s="4" t="s">
        <v>17</v>
      </c>
      <c r="G491" s="1" t="s">
        <v>18</v>
      </c>
      <c r="H491" s="1" t="s">
        <v>19</v>
      </c>
      <c r="I491" s="1" t="s">
        <v>20</v>
      </c>
      <c r="J491" s="1" t="s">
        <v>2287</v>
      </c>
      <c r="K491" s="1" t="s">
        <v>22</v>
      </c>
      <c r="L491" s="1" t="str">
        <f>HYPERLINK("https://files.afu.se/Downloads/Transcripts/0%20-%20Government/USA%20-%20NASA%20Kennedy/2018 08 29 - NASA's Kennedy Space Center - Crawler crew explains how they move the mobile launcher_W5g9FSri6mA - transcript (automated).pdf","Transcript Link")</f>
        <v>Transcript Link</v>
      </c>
      <c r="M491" s="2" t="str">
        <f>HYPERLINK("https://files.afu.se/Downloads/Transcripts/0%20-%20Government/USA%20-%20NASA%20Kennedy/2018 08 29 - NASA's Kennedy Space Center - Crawler crew explains how they move the mobile launcher_W5g9FSri6mA - transcript (automated).pdf","Transcript Link")</f>
        <v>Transcript Link</v>
      </c>
    </row>
    <row r="492" ht="180" spans="1:13">
      <c r="A492" s="1" t="s">
        <v>2288</v>
      </c>
      <c r="B492" s="1" t="s">
        <v>13</v>
      </c>
      <c r="C492" s="4" t="s">
        <v>2289</v>
      </c>
      <c r="D492" s="1" t="s">
        <v>2290</v>
      </c>
      <c r="E492" s="1" t="s">
        <v>2291</v>
      </c>
      <c r="F492" s="4" t="s">
        <v>17</v>
      </c>
      <c r="G492" s="1" t="s">
        <v>18</v>
      </c>
      <c r="H492" s="1" t="s">
        <v>19</v>
      </c>
      <c r="I492" s="1" t="s">
        <v>20</v>
      </c>
      <c r="J492" s="1" t="s">
        <v>2292</v>
      </c>
      <c r="K492" s="1" t="s">
        <v>22</v>
      </c>
      <c r="L492" s="1" t="str">
        <f>HYPERLINK("https://files.afu.se/Downloads/Transcripts/0%20-%20Government/USA%20-%20NASA%20Kennedy/2018 08 28 - NASA's Kennedy Space Center - Rocket Ranch Podcast Episode 3  Failure is Not an Option_y7r968V7RBE - transcript (automated).pdf","Transcript Link")</f>
        <v>Transcript Link</v>
      </c>
      <c r="M492" s="2" t="str">
        <f>HYPERLINK("https://files.afu.se/Downloads/Transcripts/0%20-%20Government/USA%20-%20NASA%20Kennedy/2018 08 28 - NASA's Kennedy Space Center - Rocket Ranch Podcast Episode 3  Failure is Not an Option_y7r968V7RBE - transcript (automated).pdf","Transcript Link")</f>
        <v>Transcript Link</v>
      </c>
    </row>
    <row r="493" ht="180" spans="1:13">
      <c r="A493" s="1" t="s">
        <v>2293</v>
      </c>
      <c r="B493" s="1" t="s">
        <v>13</v>
      </c>
      <c r="C493" s="4" t="s">
        <v>2294</v>
      </c>
      <c r="D493" s="1" t="s">
        <v>2295</v>
      </c>
      <c r="E493" s="1" t="s">
        <v>2296</v>
      </c>
      <c r="F493" s="4" t="s">
        <v>17</v>
      </c>
      <c r="G493" s="1" t="s">
        <v>18</v>
      </c>
      <c r="H493" s="1" t="s">
        <v>19</v>
      </c>
      <c r="I493" s="1" t="s">
        <v>20</v>
      </c>
      <c r="J493" s="1" t="s">
        <v>2297</v>
      </c>
      <c r="K493" s="1" t="s">
        <v>22</v>
      </c>
      <c r="L493" s="1" t="str">
        <f>HYPERLINK("https://files.afu.se/Downloads/Transcripts/0%20-%20Government/USA%20-%20NASA%20Kennedy/2018 08 24 - NASA's Kennedy Space Center - Rocket Ranch Promo  Failure is Not an Option_kY1cZl0bZl4 - transcript (automated).pdf","Transcript Link")</f>
        <v>Transcript Link</v>
      </c>
      <c r="M493" s="2" t="str">
        <f>HYPERLINK("https://files.afu.se/Downloads/Transcripts/0%20-%20Government/USA%20-%20NASA%20Kennedy/2018 08 24 - NASA's Kennedy Space Center - Rocket Ranch Promo  Failure is Not an Option_kY1cZl0bZl4 - transcript (automated).pdf","Transcript Link")</f>
        <v>Transcript Link</v>
      </c>
    </row>
    <row r="494" ht="180" spans="1:13">
      <c r="A494" s="1" t="s">
        <v>2293</v>
      </c>
      <c r="B494" s="1" t="s">
        <v>13</v>
      </c>
      <c r="C494" s="4" t="s">
        <v>2298</v>
      </c>
      <c r="D494" s="1" t="s">
        <v>2299</v>
      </c>
      <c r="E494" s="1" t="s">
        <v>2300</v>
      </c>
      <c r="F494" s="4" t="s">
        <v>17</v>
      </c>
      <c r="G494" s="1" t="s">
        <v>18</v>
      </c>
      <c r="H494" s="1" t="s">
        <v>19</v>
      </c>
      <c r="I494" s="1" t="s">
        <v>20</v>
      </c>
      <c r="J494" s="1" t="s">
        <v>2301</v>
      </c>
      <c r="K494" s="1" t="s">
        <v>22</v>
      </c>
      <c r="L494" s="1" t="str">
        <f>HYPERLINK("https://files.afu.se/Downloads/Transcripts/0%20-%20Government/USA%20-%20NASA%20Kennedy/2018 08 24 - NASA's Kennedy Space Center - Inside KSC! for August 24, 2018_dlRg2JKCVRo - transcript (automated).pdf","Transcript Link")</f>
        <v>Transcript Link</v>
      </c>
      <c r="M494" s="2" t="str">
        <f>HYPERLINK("https://files.afu.se/Downloads/Transcripts/0%20-%20Government/USA%20-%20NASA%20Kennedy/2018 08 24 - NASA's Kennedy Space Center - Inside KSC! for August 24, 2018_dlRg2JKCVRo - transcript (automated).pdf","Transcript Link")</f>
        <v>Transcript Link</v>
      </c>
    </row>
    <row r="495" ht="180" spans="1:13">
      <c r="A495" s="1" t="s">
        <v>2302</v>
      </c>
      <c r="B495" s="1" t="s">
        <v>13</v>
      </c>
      <c r="C495" s="4" t="s">
        <v>2303</v>
      </c>
      <c r="D495" s="1" t="s">
        <v>2304</v>
      </c>
      <c r="E495" s="1" t="s">
        <v>2305</v>
      </c>
      <c r="F495" s="4" t="s">
        <v>17</v>
      </c>
      <c r="G495" s="1" t="s">
        <v>18</v>
      </c>
      <c r="H495" s="1" t="s">
        <v>19</v>
      </c>
      <c r="I495" s="1" t="s">
        <v>20</v>
      </c>
      <c r="J495" s="1" t="s">
        <v>2306</v>
      </c>
      <c r="K495" s="1" t="s">
        <v>22</v>
      </c>
      <c r="L495" s="1" t="str">
        <f>HYPERLINK("https://files.afu.se/Downloads/Transcripts/0%20-%20Government/USA%20-%20NASA%20Kennedy/2018 08 23 - NASA's Kennedy Space Center - Commercial Crew  The Spacecraft_zrBTu389aqY - transcript (automated).pdf","Transcript Link")</f>
        <v>Transcript Link</v>
      </c>
      <c r="M495" s="2" t="str">
        <f>HYPERLINK("https://files.afu.se/Downloads/Transcripts/0%20-%20Government/USA%20-%20NASA%20Kennedy/2018 08 23 - NASA's Kennedy Space Center - Commercial Crew  The Spacecraft_zrBTu389aqY - transcript (automated).pdf","Transcript Link")</f>
        <v>Transcript Link</v>
      </c>
    </row>
    <row r="496" ht="180" spans="1:13">
      <c r="A496" s="1" t="s">
        <v>2307</v>
      </c>
      <c r="B496" s="1" t="s">
        <v>13</v>
      </c>
      <c r="C496" s="4" t="s">
        <v>2308</v>
      </c>
      <c r="D496" s="1" t="s">
        <v>2309</v>
      </c>
      <c r="E496" s="1" t="s">
        <v>2310</v>
      </c>
      <c r="F496" s="4" t="s">
        <v>17</v>
      </c>
      <c r="G496" s="1" t="s">
        <v>18</v>
      </c>
      <c r="H496" s="1" t="s">
        <v>19</v>
      </c>
      <c r="I496" s="1" t="s">
        <v>20</v>
      </c>
      <c r="J496" s="1" t="s">
        <v>2311</v>
      </c>
      <c r="K496" s="1" t="s">
        <v>22</v>
      </c>
      <c r="L496" s="1" t="str">
        <f>HYPERLINK("https://files.afu.se/Downloads/Transcripts/0%20-%20Government/USA%20-%20NASA%20Kennedy/2018 08 17 - NASA's Kennedy Space Center - Inside KSC! for August 17, 2018_u9xzuOgs9-4 - transcript (automated).pdf","Transcript Link")</f>
        <v>Transcript Link</v>
      </c>
      <c r="M496" s="2" t="str">
        <f>HYPERLINK("https://files.afu.se/Downloads/Transcripts/0%20-%20Government/USA%20-%20NASA%20Kennedy/2018 08 17 - NASA's Kennedy Space Center - Inside KSC! for August 17, 2018_u9xzuOgs9-4 - transcript (automated).pdf","Transcript Link")</f>
        <v>Transcript Link</v>
      </c>
    </row>
    <row r="497" ht="180" spans="1:13">
      <c r="A497" s="1" t="s">
        <v>2312</v>
      </c>
      <c r="B497" s="1" t="s">
        <v>13</v>
      </c>
      <c r="C497" s="4" t="s">
        <v>2313</v>
      </c>
      <c r="D497" s="1" t="s">
        <v>2314</v>
      </c>
      <c r="E497" s="1" t="s">
        <v>2315</v>
      </c>
      <c r="F497" s="4" t="s">
        <v>17</v>
      </c>
      <c r="G497" s="1" t="s">
        <v>18</v>
      </c>
      <c r="H497" s="1" t="s">
        <v>19</v>
      </c>
      <c r="I497" s="1" t="s">
        <v>20</v>
      </c>
      <c r="J497" s="1" t="s">
        <v>2316</v>
      </c>
      <c r="K497" s="1" t="s">
        <v>22</v>
      </c>
      <c r="L497" s="1" t="str">
        <f>HYPERLINK("https://files.afu.se/Downloads/Transcripts/0%20-%20Government/USA%20-%20NASA%20Kennedy/2018 08 13 - NASA's Kennedy Space Center - Commercial Crew  Meet the Flight Test Crews_RU6QkU8w60c - transcript (automated).pdf","Transcript Link")</f>
        <v>Transcript Link</v>
      </c>
      <c r="M497" s="2" t="str">
        <f>HYPERLINK("https://files.afu.se/Downloads/Transcripts/0%20-%20Government/USA%20-%20NASA%20Kennedy/2018 08 13 - NASA's Kennedy Space Center - Commercial Crew  Meet the Flight Test Crews_RU6QkU8w60c - transcript (automated).pdf","Transcript Link")</f>
        <v>Transcript Link</v>
      </c>
    </row>
    <row r="498" ht="180" spans="1:13">
      <c r="A498" s="1" t="s">
        <v>2317</v>
      </c>
      <c r="B498" s="1" t="s">
        <v>13</v>
      </c>
      <c r="C498" s="4" t="s">
        <v>2318</v>
      </c>
      <c r="D498" s="1" t="s">
        <v>2218</v>
      </c>
      <c r="E498" s="1" t="s">
        <v>2319</v>
      </c>
      <c r="F498" s="4" t="s">
        <v>17</v>
      </c>
      <c r="G498" s="1" t="s">
        <v>18</v>
      </c>
      <c r="H498" s="1" t="s">
        <v>19</v>
      </c>
      <c r="I498" s="1" t="s">
        <v>20</v>
      </c>
      <c r="J498" s="1" t="s">
        <v>2320</v>
      </c>
      <c r="K498" s="1" t="s">
        <v>22</v>
      </c>
      <c r="L498" s="1" t="str">
        <f>HYPERLINK("https://files.afu.se/Downloads/Transcripts/0%20-%20Government/USA%20-%20NASA%20Kennedy/2018 08 12 - NASA's Kennedy Space Center - Interview with NASA Launch Director_AWAP4hXe3cY - transcript (automated).pdf","Transcript Link")</f>
        <v>Transcript Link</v>
      </c>
      <c r="M498" s="2" t="str">
        <f>HYPERLINK("https://files.afu.se/Downloads/Transcripts/0%20-%20Government/USA%20-%20NASA%20Kennedy/2018 08 12 - NASA's Kennedy Space Center - Interview with NASA Launch Director_AWAP4hXe3cY - transcript (automated).pdf","Transcript Link")</f>
        <v>Transcript Link</v>
      </c>
    </row>
    <row r="499" ht="180" spans="1:13">
      <c r="A499" s="1" t="s">
        <v>2317</v>
      </c>
      <c r="B499" s="1" t="s">
        <v>13</v>
      </c>
      <c r="C499" s="4" t="s">
        <v>2321</v>
      </c>
      <c r="D499" s="1" t="s">
        <v>2322</v>
      </c>
      <c r="E499" s="1" t="s">
        <v>2323</v>
      </c>
      <c r="F499" s="4" t="s">
        <v>17</v>
      </c>
      <c r="G499" s="1" t="s">
        <v>18</v>
      </c>
      <c r="H499" s="1" t="s">
        <v>19</v>
      </c>
      <c r="I499" s="1" t="s">
        <v>20</v>
      </c>
      <c r="J499" s="1" t="s">
        <v>2324</v>
      </c>
      <c r="K499" s="1" t="s">
        <v>22</v>
      </c>
      <c r="L499" s="1" t="str">
        <f>HYPERLINK("https://files.afu.se/Downloads/Transcripts/0%20-%20Government/USA%20-%20NASA%20Kennedy/2018 08 12 - NASA's Kennedy Space Center - Liftoff of NASA's Parker Solar Probe_1dm4WUx7z1A - transcript (automated).pdf","Transcript Link")</f>
        <v>Transcript Link</v>
      </c>
      <c r="M499" s="2" t="str">
        <f>HYPERLINK("https://files.afu.se/Downloads/Transcripts/0%20-%20Government/USA%20-%20NASA%20Kennedy/2018 08 12 - NASA's Kennedy Space Center - Liftoff of NASA's Parker Solar Probe_1dm4WUx7z1A - transcript (automated).pdf","Transcript Link")</f>
        <v>Transcript Link</v>
      </c>
    </row>
    <row r="500" ht="180" spans="1:13">
      <c r="A500" s="1" t="s">
        <v>2317</v>
      </c>
      <c r="B500" s="1" t="s">
        <v>13</v>
      </c>
      <c r="C500" s="4" t="s">
        <v>2325</v>
      </c>
      <c r="D500" s="1" t="s">
        <v>2326</v>
      </c>
      <c r="E500" s="1" t="s">
        <v>2327</v>
      </c>
      <c r="F500" s="4" t="s">
        <v>17</v>
      </c>
      <c r="G500" s="1" t="s">
        <v>18</v>
      </c>
      <c r="H500" s="1" t="s">
        <v>19</v>
      </c>
      <c r="I500" s="1" t="s">
        <v>20</v>
      </c>
      <c r="J500" s="1" t="s">
        <v>2328</v>
      </c>
      <c r="K500" s="1" t="s">
        <v>22</v>
      </c>
      <c r="L500" s="1" t="str">
        <f>HYPERLINK("https://files.afu.se/Downloads/Transcripts/0%20-%20Government/USA%20-%20NASA%20Kennedy/2018 08 12 - NASA's Kennedy Space Center - Parker Solar Probe, Delta IV Heavy Countdown Poll_9IC1Io5xkbc - transcript (automated).pdf","Transcript Link")</f>
        <v>Transcript Link</v>
      </c>
      <c r="M500" s="2" t="str">
        <f>HYPERLINK("https://files.afu.se/Downloads/Transcripts/0%20-%20Government/USA%20-%20NASA%20Kennedy/2018 08 12 - NASA's Kennedy Space Center - Parker Solar Probe, Delta IV Heavy Countdown Poll_9IC1Io5xkbc - transcript (automated).pdf","Transcript Link")</f>
        <v>Transcript Link</v>
      </c>
    </row>
    <row r="501" ht="180" spans="1:13">
      <c r="A501" s="1" t="s">
        <v>2317</v>
      </c>
      <c r="B501" s="1" t="s">
        <v>13</v>
      </c>
      <c r="C501" s="4" t="s">
        <v>2329</v>
      </c>
      <c r="D501" s="1" t="s">
        <v>2330</v>
      </c>
      <c r="E501" s="1" t="s">
        <v>2331</v>
      </c>
      <c r="F501" s="4" t="s">
        <v>17</v>
      </c>
      <c r="G501" s="1" t="s">
        <v>18</v>
      </c>
      <c r="H501" s="1" t="s">
        <v>19</v>
      </c>
      <c r="I501" s="1" t="s">
        <v>20</v>
      </c>
      <c r="J501" s="1" t="s">
        <v>2332</v>
      </c>
      <c r="K501" s="1" t="s">
        <v>22</v>
      </c>
      <c r="L501" s="1" t="str">
        <f>HYPERLINK("https://files.afu.se/Downloads/Transcripts/0%20-%20Government/USA%20-%20NASA%20Kennedy/2018 08 12 - NASA's Kennedy Space Center - Countdown Underway for NASA's Parker Solar Probe_MMBmXdZgS8E - transcript (automated).pdf","Transcript Link")</f>
        <v>Transcript Link</v>
      </c>
      <c r="M501" s="2" t="str">
        <f>HYPERLINK("https://files.afu.se/Downloads/Transcripts/0%20-%20Government/USA%20-%20NASA%20Kennedy/2018 08 12 - NASA's Kennedy Space Center - Countdown Underway for NASA's Parker Solar Probe_MMBmXdZgS8E - transcript (automated).pdf","Transcript Link")</f>
        <v>Transcript Link</v>
      </c>
    </row>
    <row r="502" ht="180" spans="1:13">
      <c r="A502" s="1" t="s">
        <v>2333</v>
      </c>
      <c r="B502" s="1" t="s">
        <v>13</v>
      </c>
      <c r="C502" s="4" t="s">
        <v>2334</v>
      </c>
      <c r="D502" s="1" t="s">
        <v>2335</v>
      </c>
      <c r="E502" s="1" t="s">
        <v>2336</v>
      </c>
      <c r="F502" s="4" t="s">
        <v>17</v>
      </c>
      <c r="G502" s="1" t="s">
        <v>18</v>
      </c>
      <c r="H502" s="1" t="s">
        <v>19</v>
      </c>
      <c r="I502" s="1" t="s">
        <v>20</v>
      </c>
      <c r="J502" s="1" t="s">
        <v>2337</v>
      </c>
      <c r="K502" s="1" t="s">
        <v>22</v>
      </c>
      <c r="L502" s="1" t="str">
        <f>HYPERLINK("https://files.afu.se/Downloads/Transcripts/0%20-%20Government/USA%20-%20NASA%20Kennedy/2018 08 11 - NASA's Kennedy Space Center - Parker Solar Probe Launch Postponed_gvI9KNVd-nU - transcript (automated).pdf","Transcript Link")</f>
        <v>Transcript Link</v>
      </c>
      <c r="M502" s="2" t="str">
        <f>HYPERLINK("https://files.afu.se/Downloads/Transcripts/0%20-%20Government/USA%20-%20NASA%20Kennedy/2018 08 11 - NASA's Kennedy Space Center - Parker Solar Probe Launch Postponed_gvI9KNVd-nU - transcript (automated).pdf","Transcript Link")</f>
        <v>Transcript Link</v>
      </c>
    </row>
    <row r="503" ht="180" spans="1:13">
      <c r="A503" s="1" t="s">
        <v>2333</v>
      </c>
      <c r="B503" s="1" t="s">
        <v>13</v>
      </c>
      <c r="C503" s="4" t="s">
        <v>2338</v>
      </c>
      <c r="D503" s="1" t="s">
        <v>2339</v>
      </c>
      <c r="E503" s="1" t="s">
        <v>2340</v>
      </c>
      <c r="F503" s="4" t="s">
        <v>17</v>
      </c>
      <c r="G503" s="1" t="s">
        <v>18</v>
      </c>
      <c r="H503" s="1" t="s">
        <v>19</v>
      </c>
      <c r="I503" s="1" t="s">
        <v>20</v>
      </c>
      <c r="J503" s="1" t="s">
        <v>2341</v>
      </c>
      <c r="K503" s="1" t="s">
        <v>22</v>
      </c>
      <c r="L503" s="1" t="str">
        <f>HYPERLINK("https://files.afu.se/Downloads/Transcripts/0%20-%20Government/USA%20-%20NASA%20Kennedy/2018 08 11 - NASA's Kennedy Space Center - NASA's Parker Solar Probe Ready for Launch Atop Delta IV Heavy_zhdC4wocAwM - transcript (automated).pdf","Transcript Link")</f>
        <v>Transcript Link</v>
      </c>
      <c r="M503" s="2" t="str">
        <f>HYPERLINK("https://files.afu.se/Downloads/Transcripts/0%20-%20Government/USA%20-%20NASA%20Kennedy/2018 08 11 - NASA's Kennedy Space Center - NASA's Parker Solar Probe Ready for Launch Atop Delta IV Heavy_zhdC4wocAwM - transcript (automated).pdf","Transcript Link")</f>
        <v>Transcript Link</v>
      </c>
    </row>
    <row r="504" ht="180" spans="1:13">
      <c r="A504" s="1" t="s">
        <v>2342</v>
      </c>
      <c r="B504" s="1" t="s">
        <v>13</v>
      </c>
      <c r="C504" s="4" t="s">
        <v>2343</v>
      </c>
      <c r="D504" s="1" t="s">
        <v>2344</v>
      </c>
      <c r="E504" s="1" t="s">
        <v>2345</v>
      </c>
      <c r="F504" s="4" t="s">
        <v>17</v>
      </c>
      <c r="G504" s="1" t="s">
        <v>18</v>
      </c>
      <c r="H504" s="1" t="s">
        <v>19</v>
      </c>
      <c r="I504" s="1" t="s">
        <v>20</v>
      </c>
      <c r="J504" s="1" t="s">
        <v>2346</v>
      </c>
      <c r="K504" s="1" t="s">
        <v>22</v>
      </c>
      <c r="L504" s="1" t="str">
        <f>HYPERLINK("https://files.afu.se/Downloads/Transcripts/0%20-%20Government/USA%20-%20NASA%20Kennedy/2018 08 09 - NASA's Kennedy Space Center - Inside KSC! for August 9, 2018_Pm0k8kaAUBo - transcript (automated).pdf","Transcript Link")</f>
        <v>Transcript Link</v>
      </c>
      <c r="M504" s="2" t="str">
        <f>HYPERLINK("https://files.afu.se/Downloads/Transcripts/0%20-%20Government/USA%20-%20NASA%20Kennedy/2018 08 09 - NASA's Kennedy Space Center - Inside KSC! for August 9, 2018_Pm0k8kaAUBo - transcript (automated).pdf","Transcript Link")</f>
        <v>Transcript Link</v>
      </c>
    </row>
    <row r="505" ht="180" spans="1:13">
      <c r="A505" s="1" t="s">
        <v>2347</v>
      </c>
      <c r="B505" s="1" t="s">
        <v>13</v>
      </c>
      <c r="C505" s="4" t="s">
        <v>2348</v>
      </c>
      <c r="D505" s="1" t="s">
        <v>2349</v>
      </c>
      <c r="E505" s="1" t="s">
        <v>2350</v>
      </c>
      <c r="F505" s="4" t="s">
        <v>17</v>
      </c>
      <c r="G505" s="1" t="s">
        <v>18</v>
      </c>
      <c r="H505" s="1" t="s">
        <v>19</v>
      </c>
      <c r="I505" s="1" t="s">
        <v>20</v>
      </c>
      <c r="J505" s="1" t="s">
        <v>2351</v>
      </c>
      <c r="K505" s="1" t="s">
        <v>22</v>
      </c>
      <c r="L505" s="1" t="str">
        <f>HYPERLINK("https://files.afu.se/Downloads/Transcripts/0%20-%20Government/USA%20-%20NASA%20Kennedy/2018 08 06 - NASA's Kennedy Space Center - Dust Mitigation Technology to Aid Future Explorers_N2mLnwayX00 - transcript (automated).pdf","Transcript Link")</f>
        <v>Transcript Link</v>
      </c>
      <c r="M505" s="2" t="str">
        <f>HYPERLINK("https://files.afu.se/Downloads/Transcripts/0%20-%20Government/USA%20-%20NASA%20Kennedy/2018 08 06 - NASA's Kennedy Space Center - Dust Mitigation Technology to Aid Future Explorers_N2mLnwayX00 - transcript (automated).pdf","Transcript Link")</f>
        <v>Transcript Link</v>
      </c>
    </row>
    <row r="506" ht="180" spans="1:13">
      <c r="A506" s="1" t="s">
        <v>2352</v>
      </c>
      <c r="B506" s="1" t="s">
        <v>13</v>
      </c>
      <c r="C506" s="4" t="s">
        <v>2353</v>
      </c>
      <c r="D506" s="1" t="s">
        <v>2354</v>
      </c>
      <c r="E506" s="1" t="s">
        <v>2355</v>
      </c>
      <c r="F506" s="4" t="s">
        <v>17</v>
      </c>
      <c r="G506" s="1" t="s">
        <v>18</v>
      </c>
      <c r="H506" s="1" t="s">
        <v>19</v>
      </c>
      <c r="I506" s="1" t="s">
        <v>20</v>
      </c>
      <c r="J506" s="1" t="s">
        <v>2356</v>
      </c>
      <c r="K506" s="1" t="s">
        <v>22</v>
      </c>
      <c r="L506" s="1" t="str">
        <f>HYPERLINK("https://files.afu.se/Downloads/Transcripts/0%20-%20Government/USA%20-%20NASA%20Kennedy/2018 08 03 - NASA's Kennedy Space Center - NASA's Commercial Crew Program   Our Destiny Lies Above Us _z-0M3h_saiA - transcript (automated).pdf","Transcript Link")</f>
        <v>Transcript Link</v>
      </c>
      <c r="M506" s="2" t="str">
        <f>HYPERLINK("https://files.afu.se/Downloads/Transcripts/0%20-%20Government/USA%20-%20NASA%20Kennedy/2018 08 03 - NASA's Kennedy Space Center - NASA's Commercial Crew Program   Our Destiny Lies Above Us _z-0M3h_saiA - transcript (automated).pdf","Transcript Link")</f>
        <v>Transcript Link</v>
      </c>
    </row>
    <row r="507" ht="180" spans="1:13">
      <c r="A507" s="1" t="s">
        <v>2352</v>
      </c>
      <c r="B507" s="1" t="s">
        <v>13</v>
      </c>
      <c r="C507" s="4" t="s">
        <v>2357</v>
      </c>
      <c r="D507" s="1" t="s">
        <v>2358</v>
      </c>
      <c r="E507" s="1" t="s">
        <v>2359</v>
      </c>
      <c r="F507" s="4" t="s">
        <v>17</v>
      </c>
      <c r="G507" s="1" t="s">
        <v>18</v>
      </c>
      <c r="H507" s="1" t="s">
        <v>19</v>
      </c>
      <c r="I507" s="1" t="s">
        <v>20</v>
      </c>
      <c r="J507" s="1" t="s">
        <v>2360</v>
      </c>
      <c r="K507" s="1" t="s">
        <v>22</v>
      </c>
      <c r="L507" s="1" t="str">
        <f>HYPERLINK("https://files.afu.se/Downloads/Transcripts/0%20-%20Government/USA%20-%20NASA%20Kennedy/2018 08 03 - NASA's Kennedy Space Center - Inside KSC! for August 3, 2018_SQYARopfKX8 - transcript (automated).pdf","Transcript Link")</f>
        <v>Transcript Link</v>
      </c>
      <c r="M507" s="2" t="str">
        <f>HYPERLINK("https://files.afu.se/Downloads/Transcripts/0%20-%20Government/USA%20-%20NASA%20Kennedy/2018 08 03 - NASA's Kennedy Space Center - Inside KSC! for August 3, 2018_SQYARopfKX8 - transcript (automated).pdf","Transcript Link")</f>
        <v>Transcript Link</v>
      </c>
    </row>
    <row r="508" ht="180" spans="1:13">
      <c r="A508" s="1" t="s">
        <v>2361</v>
      </c>
      <c r="B508" s="1" t="s">
        <v>13</v>
      </c>
      <c r="C508" s="4" t="s">
        <v>2362</v>
      </c>
      <c r="D508" s="1" t="s">
        <v>2363</v>
      </c>
      <c r="E508" s="1" t="s">
        <v>2364</v>
      </c>
      <c r="F508" s="4" t="s">
        <v>17</v>
      </c>
      <c r="G508" s="1" t="s">
        <v>18</v>
      </c>
      <c r="H508" s="1" t="s">
        <v>19</v>
      </c>
      <c r="I508" s="1" t="s">
        <v>20</v>
      </c>
      <c r="J508" s="1" t="s">
        <v>2365</v>
      </c>
      <c r="K508" s="1" t="s">
        <v>22</v>
      </c>
      <c r="L508" s="1" t="str">
        <f>HYPERLINK("https://files.afu.se/Downloads/Transcripts/0%20-%20Government/USA%20-%20NASA%20Kennedy/2018 07 27 - NASA's Kennedy Space Center - Countdown to T-Zero  Flying Faster, Hotter and Closer Than Ever to the Sun_JSgNtjoOc4Y - transcript (automated).pdf","Transcript Link")</f>
        <v>Transcript Link</v>
      </c>
      <c r="M508" s="2" t="str">
        <f>HYPERLINK("https://files.afu.se/Downloads/Transcripts/0%20-%20Government/USA%20-%20NASA%20Kennedy/2018 07 27 - NASA's Kennedy Space Center - Countdown to T-Zero  Flying Faster, Hotter and Closer Than Ever to the Sun_JSgNtjoOc4Y - transcript (automated).pdf","Transcript Link")</f>
        <v>Transcript Link</v>
      </c>
    </row>
    <row r="509" ht="180" spans="1:13">
      <c r="A509" s="1" t="s">
        <v>2361</v>
      </c>
      <c r="B509" s="1" t="s">
        <v>13</v>
      </c>
      <c r="C509" s="4" t="s">
        <v>2366</v>
      </c>
      <c r="D509" s="1" t="s">
        <v>2367</v>
      </c>
      <c r="E509" s="1" t="s">
        <v>2368</v>
      </c>
      <c r="F509" s="4" t="s">
        <v>17</v>
      </c>
      <c r="G509" s="1" t="s">
        <v>18</v>
      </c>
      <c r="H509" s="1" t="s">
        <v>19</v>
      </c>
      <c r="I509" s="1" t="s">
        <v>20</v>
      </c>
      <c r="J509" s="1" t="s">
        <v>2369</v>
      </c>
      <c r="K509" s="1" t="s">
        <v>22</v>
      </c>
      <c r="L509" s="1" t="str">
        <f>HYPERLINK("https://files.afu.se/Downloads/Transcripts/0%20-%20Government/USA%20-%20NASA%20Kennedy/2018 07 27 - NASA's Kennedy Space Center - Inside KSC! for July 27, 2018_rVqaocXISYY - transcript (automated).pdf","Transcript Link")</f>
        <v>Transcript Link</v>
      </c>
      <c r="M509" s="2" t="str">
        <f>HYPERLINK("https://files.afu.se/Downloads/Transcripts/0%20-%20Government/USA%20-%20NASA%20Kennedy/2018 07 27 - NASA's Kennedy Space Center - Inside KSC! for July 27, 2018_rVqaocXISYY - transcript (automated).pdf","Transcript Link")</f>
        <v>Transcript Link</v>
      </c>
    </row>
    <row r="510" ht="180" spans="1:13">
      <c r="A510" s="1" t="s">
        <v>2370</v>
      </c>
      <c r="B510" s="1" t="s">
        <v>13</v>
      </c>
      <c r="C510" s="4" t="s">
        <v>2371</v>
      </c>
      <c r="D510" s="1" t="s">
        <v>2372</v>
      </c>
      <c r="E510" s="1" t="s">
        <v>2373</v>
      </c>
      <c r="F510" s="4" t="s">
        <v>17</v>
      </c>
      <c r="G510" s="1" t="s">
        <v>18</v>
      </c>
      <c r="H510" s="1" t="s">
        <v>19</v>
      </c>
      <c r="I510" s="1" t="s">
        <v>20</v>
      </c>
      <c r="J510" s="1" t="s">
        <v>2374</v>
      </c>
      <c r="K510" s="1" t="s">
        <v>22</v>
      </c>
      <c r="L510" s="1" t="str">
        <f>HYPERLINK("https://files.afu.se/Downloads/Transcripts/0%20-%20Government/USA%20-%20NASA%20Kennedy/2018 07 26 - NASA's Kennedy Space Center - I Am an Engineer_at1prA_jbtw - transcript (automated).pdf","Transcript Link")</f>
        <v>Transcript Link</v>
      </c>
      <c r="M510" s="2" t="str">
        <f>HYPERLINK("https://files.afu.se/Downloads/Transcripts/0%20-%20Government/USA%20-%20NASA%20Kennedy/2018 07 26 - NASA's Kennedy Space Center - I Am an Engineer_at1prA_jbtw - transcript (automated).pdf","Transcript Link")</f>
        <v>Transcript Link</v>
      </c>
    </row>
    <row r="511" ht="180" spans="1:13">
      <c r="A511" s="1" t="s">
        <v>2375</v>
      </c>
      <c r="B511" s="1" t="s">
        <v>13</v>
      </c>
      <c r="C511" s="4" t="s">
        <v>2376</v>
      </c>
      <c r="D511" s="1" t="s">
        <v>2377</v>
      </c>
      <c r="E511" s="1" t="s">
        <v>2378</v>
      </c>
      <c r="F511" s="4" t="s">
        <v>17</v>
      </c>
      <c r="G511" s="1" t="s">
        <v>18</v>
      </c>
      <c r="H511" s="1" t="s">
        <v>19</v>
      </c>
      <c r="I511" s="1" t="s">
        <v>20</v>
      </c>
      <c r="J511" s="1" t="s">
        <v>2379</v>
      </c>
      <c r="K511" s="1" t="s">
        <v>22</v>
      </c>
      <c r="L511" s="1" t="str">
        <f>HYPERLINK("https://files.afu.se/Downloads/Transcripts/0%20-%20Government/USA%20-%20NASA%20Kennedy/2018 07 25 - NASA's Kennedy Space Center - Rocket Ranch Podcast E02  Some Like It Hot_tv7feLPTqeU - transcript (automated).pdf","Transcript Link")</f>
        <v>Transcript Link</v>
      </c>
      <c r="M511" s="2" t="str">
        <f>HYPERLINK("https://files.afu.se/Downloads/Transcripts/0%20-%20Government/USA%20-%20NASA%20Kennedy/2018 07 25 - NASA's Kennedy Space Center - Rocket Ranch Podcast E02  Some Like It Hot_tv7feLPTqeU - transcript (automated).pdf","Transcript Link")</f>
        <v>Transcript Link</v>
      </c>
    </row>
    <row r="512" ht="180" spans="1:13">
      <c r="A512" s="1" t="s">
        <v>2375</v>
      </c>
      <c r="B512" s="1" t="s">
        <v>13</v>
      </c>
      <c r="C512" s="4" t="s">
        <v>2380</v>
      </c>
      <c r="D512" s="1" t="s">
        <v>2381</v>
      </c>
      <c r="E512" s="1" t="s">
        <v>2382</v>
      </c>
      <c r="F512" s="4" t="s">
        <v>17</v>
      </c>
      <c r="G512" s="1" t="s">
        <v>18</v>
      </c>
      <c r="H512" s="1" t="s">
        <v>19</v>
      </c>
      <c r="I512" s="1" t="s">
        <v>20</v>
      </c>
      <c r="J512" s="1" t="s">
        <v>2383</v>
      </c>
      <c r="K512" s="1" t="s">
        <v>22</v>
      </c>
      <c r="L512" s="1" t="str">
        <f>HYPERLINK("https://files.afu.se/Downloads/Transcripts/0%20-%20Government/USA%20-%20NASA%20Kennedy/2018 07 25 - NASA's Kennedy Space Center - Rocket Ranch Podcast E01  Mars_rfMvVRTxTZI - transcript (automated).pdf","Transcript Link")</f>
        <v>Transcript Link</v>
      </c>
      <c r="M512" s="2" t="str">
        <f>HYPERLINK("https://files.afu.se/Downloads/Transcripts/0%20-%20Government/USA%20-%20NASA%20Kennedy/2018 07 25 - NASA's Kennedy Space Center - Rocket Ranch Podcast E01  Mars_rfMvVRTxTZI - transcript (automated).pdf","Transcript Link")</f>
        <v>Transcript Link</v>
      </c>
    </row>
    <row r="513" ht="180" spans="1:13">
      <c r="A513" s="1" t="s">
        <v>2384</v>
      </c>
      <c r="B513" s="1" t="s">
        <v>13</v>
      </c>
      <c r="C513" s="4" t="s">
        <v>2385</v>
      </c>
      <c r="D513" s="1" t="s">
        <v>2386</v>
      </c>
      <c r="E513" s="1" t="s">
        <v>2387</v>
      </c>
      <c r="F513" s="4" t="s">
        <v>17</v>
      </c>
      <c r="G513" s="1" t="s">
        <v>18</v>
      </c>
      <c r="H513" s="1" t="s">
        <v>19</v>
      </c>
      <c r="I513" s="1" t="s">
        <v>20</v>
      </c>
      <c r="J513" s="1" t="s">
        <v>2388</v>
      </c>
      <c r="K513" s="1" t="s">
        <v>22</v>
      </c>
      <c r="L513" s="1" t="str">
        <f>HYPERLINK("https://files.afu.se/Downloads/Transcripts/0%20-%20Government/USA%20-%20NASA%20Kennedy/2018 07 20 - NASA's Kennedy Space Center - Inside KSC! for July 20, 2018_rItcUiPmh_Q - transcript (automated).pdf","Transcript Link")</f>
        <v>Transcript Link</v>
      </c>
      <c r="M513" s="2" t="str">
        <f>HYPERLINK("https://files.afu.se/Downloads/Transcripts/0%20-%20Government/USA%20-%20NASA%20Kennedy/2018 07 20 - NASA's Kennedy Space Center - Inside KSC! for July 20, 2018_rItcUiPmh_Q - transcript (automated).pdf","Transcript Link")</f>
        <v>Transcript Link</v>
      </c>
    </row>
    <row r="514" ht="180" spans="1:13">
      <c r="A514" s="1" t="s">
        <v>2389</v>
      </c>
      <c r="B514" s="1" t="s">
        <v>13</v>
      </c>
      <c r="C514" s="4" t="s">
        <v>2390</v>
      </c>
      <c r="D514" s="1" t="s">
        <v>2391</v>
      </c>
      <c r="E514" s="1" t="s">
        <v>2392</v>
      </c>
      <c r="F514" s="4" t="s">
        <v>17</v>
      </c>
      <c r="G514" s="1" t="s">
        <v>18</v>
      </c>
      <c r="H514" s="1" t="s">
        <v>19</v>
      </c>
      <c r="I514" s="1" t="s">
        <v>20</v>
      </c>
      <c r="J514" s="1" t="s">
        <v>2393</v>
      </c>
      <c r="K514" s="1" t="s">
        <v>22</v>
      </c>
      <c r="L514" s="1" t="str">
        <f>HYPERLINK("https://files.afu.se/Downloads/Transcripts/0%20-%20Government/USA%20-%20NASA%20Kennedy/2018 07 19 - NASA's Kennedy Space Center - Historic Twin Launch Pad Towers Demolished_PFXECernqgk - transcript (automated).pdf","Transcript Link")</f>
        <v>Transcript Link</v>
      </c>
      <c r="M514" s="2" t="str">
        <f>HYPERLINK("https://files.afu.se/Downloads/Transcripts/0%20-%20Government/USA%20-%20NASA%20Kennedy/2018 07 19 - NASA's Kennedy Space Center - Historic Twin Launch Pad Towers Demolished_PFXECernqgk - transcript (automated).pdf","Transcript Link")</f>
        <v>Transcript Link</v>
      </c>
    </row>
    <row r="515" ht="180" spans="1:13">
      <c r="A515" s="1" t="s">
        <v>2394</v>
      </c>
      <c r="B515" s="1" t="s">
        <v>13</v>
      </c>
      <c r="C515" s="4" t="s">
        <v>2395</v>
      </c>
      <c r="D515" s="1" t="s">
        <v>2396</v>
      </c>
      <c r="E515" s="1" t="s">
        <v>2397</v>
      </c>
      <c r="F515" s="4" t="s">
        <v>17</v>
      </c>
      <c r="G515" s="1" t="s">
        <v>18</v>
      </c>
      <c r="H515" s="1" t="s">
        <v>19</v>
      </c>
      <c r="I515" s="1" t="s">
        <v>20</v>
      </c>
      <c r="J515" s="1" t="s">
        <v>2398</v>
      </c>
      <c r="K515" s="1" t="s">
        <v>22</v>
      </c>
      <c r="L515" s="1" t="str">
        <f>HYPERLINK("https://files.afu.se/Downloads/Transcripts/0%20-%20Government/USA%20-%20NASA%20Kennedy/2018 07 13 - NASA's Kennedy Space Center - Inside KSC! for July 13, 2018_bKwCf5TRZ4Y - transcript (automated).pdf","Transcript Link")</f>
        <v>Transcript Link</v>
      </c>
      <c r="M515" s="2" t="str">
        <f>HYPERLINK("https://files.afu.se/Downloads/Transcripts/0%20-%20Government/USA%20-%20NASA%20Kennedy/2018 07 13 - NASA's Kennedy Space Center - Inside KSC! for July 13, 2018_bKwCf5TRZ4Y - transcript (automated).pdf","Transcript Link")</f>
        <v>Transcript Link</v>
      </c>
    </row>
    <row r="516" ht="180" spans="1:13">
      <c r="A516" s="1" t="s">
        <v>2399</v>
      </c>
      <c r="B516" s="1" t="s">
        <v>13</v>
      </c>
      <c r="C516" s="4" t="s">
        <v>2400</v>
      </c>
      <c r="D516" s="1" t="s">
        <v>2401</v>
      </c>
      <c r="E516" s="1" t="s">
        <v>2402</v>
      </c>
      <c r="F516" s="4" t="s">
        <v>17</v>
      </c>
      <c r="G516" s="1" t="s">
        <v>18</v>
      </c>
      <c r="H516" s="1" t="s">
        <v>19</v>
      </c>
      <c r="I516" s="1" t="s">
        <v>20</v>
      </c>
      <c r="J516" s="1" t="s">
        <v>2403</v>
      </c>
      <c r="K516" s="1" t="s">
        <v>22</v>
      </c>
      <c r="L516" s="1" t="str">
        <f>HYPERLINK("https://files.afu.se/Downloads/Transcripts/0%20-%20Government/USA%20-%20NASA%20Kennedy/2018 07 06 - NASA's Kennedy Space Center - Inside KSC! for July 6, 2018_MifM-RIraYI - transcript (automated).pdf","Transcript Link")</f>
        <v>Transcript Link</v>
      </c>
      <c r="M516" s="2" t="str">
        <f>HYPERLINK("https://files.afu.se/Downloads/Transcripts/0%20-%20Government/USA%20-%20NASA%20Kennedy/2018 07 06 - NASA's Kennedy Space Center - Inside KSC! for July 6, 2018_MifM-RIraYI - transcript (automated).pdf","Transcript Link")</f>
        <v>Transcript Link</v>
      </c>
    </row>
    <row r="517" ht="180" spans="1:13">
      <c r="A517" s="1" t="s">
        <v>2404</v>
      </c>
      <c r="B517" s="1" t="s">
        <v>13</v>
      </c>
      <c r="C517" s="4" t="s">
        <v>2405</v>
      </c>
      <c r="D517" s="1" t="s">
        <v>2406</v>
      </c>
      <c r="E517" s="1" t="s">
        <v>2407</v>
      </c>
      <c r="F517" s="4" t="s">
        <v>17</v>
      </c>
      <c r="G517" s="1" t="s">
        <v>18</v>
      </c>
      <c r="H517" s="1" t="s">
        <v>19</v>
      </c>
      <c r="I517" s="1" t="s">
        <v>20</v>
      </c>
      <c r="J517" s="1" t="s">
        <v>2408</v>
      </c>
      <c r="K517" s="1" t="s">
        <v>22</v>
      </c>
      <c r="L517" s="1" t="str">
        <f>HYPERLINK("https://files.afu.se/Downloads/Transcripts/0%20-%20Government/USA%20-%20NASA%20Kennedy/2018 06 29 - NASA's Kennedy Space Center - CRS-15 Interview with Trent Smith_H9CogxbDncA - transcript (automated).pdf","Transcript Link")</f>
        <v>Transcript Link</v>
      </c>
      <c r="M517" s="2" t="str">
        <f>HYPERLINK("https://files.afu.se/Downloads/Transcripts/0%20-%20Government/USA%20-%20NASA%20Kennedy/2018 06 29 - NASA's Kennedy Space Center - CRS-15 Interview with Trent Smith_H9CogxbDncA - transcript (automated).pdf","Transcript Link")</f>
        <v>Transcript Link</v>
      </c>
    </row>
    <row r="518" ht="180" spans="1:13">
      <c r="A518" s="1" t="s">
        <v>2404</v>
      </c>
      <c r="B518" s="1" t="s">
        <v>13</v>
      </c>
      <c r="C518" s="4" t="s">
        <v>2409</v>
      </c>
      <c r="D518" s="1" t="s">
        <v>2410</v>
      </c>
      <c r="E518" s="1" t="s">
        <v>2411</v>
      </c>
      <c r="F518" s="4" t="s">
        <v>17</v>
      </c>
      <c r="G518" s="1" t="s">
        <v>18</v>
      </c>
      <c r="H518" s="1" t="s">
        <v>19</v>
      </c>
      <c r="I518" s="1" t="s">
        <v>20</v>
      </c>
      <c r="J518" s="1" t="s">
        <v>2412</v>
      </c>
      <c r="K518" s="1" t="s">
        <v>22</v>
      </c>
      <c r="L518" s="1" t="str">
        <f>HYPERLINK("https://files.afu.se/Downloads/Transcripts/0%20-%20Government/USA%20-%20NASA%20Kennedy/2018 06 29 - NASA's Kennedy Space Center - Inside KSC! for June 29, 2018_kegheqHNmAA - transcript (automated).pdf","Transcript Link")</f>
        <v>Transcript Link</v>
      </c>
      <c r="M518" s="2" t="str">
        <f>HYPERLINK("https://files.afu.se/Downloads/Transcripts/0%20-%20Government/USA%20-%20NASA%20Kennedy/2018 06 29 - NASA's Kennedy Space Center - Inside KSC! for June 29, 2018_kegheqHNmAA - transcript (automated).pdf","Transcript Link")</f>
        <v>Transcript Link</v>
      </c>
    </row>
    <row r="519" ht="180" spans="1:13">
      <c r="A519" s="1" t="s">
        <v>2404</v>
      </c>
      <c r="B519" s="1" t="s">
        <v>13</v>
      </c>
      <c r="C519" s="4" t="s">
        <v>2413</v>
      </c>
      <c r="D519" s="1" t="s">
        <v>2414</v>
      </c>
      <c r="E519" s="1" t="s">
        <v>2415</v>
      </c>
      <c r="F519" s="4" t="s">
        <v>17</v>
      </c>
      <c r="G519" s="1" t="s">
        <v>18</v>
      </c>
      <c r="H519" s="1" t="s">
        <v>19</v>
      </c>
      <c r="I519" s="1" t="s">
        <v>20</v>
      </c>
      <c r="J519" s="1" t="s">
        <v>2416</v>
      </c>
      <c r="K519" s="1" t="s">
        <v>22</v>
      </c>
      <c r="L519" s="1" t="str">
        <f>HYPERLINK("https://files.afu.se/Downloads/Transcripts/0%20-%20Government/USA%20-%20NASA%20Kennedy/2018 06 29 - NASA's Kennedy Space Center - SpaceX CRS-15 Dragon Solar Arrays Deployed_5Y_-O22a8dg - transcript (automated).pdf","Transcript Link")</f>
        <v>Transcript Link</v>
      </c>
      <c r="M519" s="2" t="str">
        <f>HYPERLINK("https://files.afu.se/Downloads/Transcripts/0%20-%20Government/USA%20-%20NASA%20Kennedy/2018 06 29 - NASA's Kennedy Space Center - SpaceX CRS-15 Dragon Solar Arrays Deployed_5Y_-O22a8dg - transcript (automated).pdf","Transcript Link")</f>
        <v>Transcript Link</v>
      </c>
    </row>
    <row r="520" ht="180" spans="1:13">
      <c r="A520" s="1" t="s">
        <v>2404</v>
      </c>
      <c r="B520" s="1" t="s">
        <v>13</v>
      </c>
      <c r="C520" s="4" t="s">
        <v>2417</v>
      </c>
      <c r="D520" s="1" t="s">
        <v>2418</v>
      </c>
      <c r="E520" s="1" t="s">
        <v>2419</v>
      </c>
      <c r="F520" s="4" t="s">
        <v>17</v>
      </c>
      <c r="G520" s="1" t="s">
        <v>18</v>
      </c>
      <c r="H520" s="1" t="s">
        <v>19</v>
      </c>
      <c r="I520" s="1" t="s">
        <v>20</v>
      </c>
      <c r="J520" s="1" t="s">
        <v>2420</v>
      </c>
      <c r="K520" s="1" t="s">
        <v>22</v>
      </c>
      <c r="L520" s="1" t="str">
        <f>HYPERLINK("https://files.afu.se/Downloads/Transcripts/0%20-%20Government/USA%20-%20NASA%20Kennedy/2018 06 29 - NASA's Kennedy Space Center - Dragon SpaceX CRS-15 Spacecraft Separation__fSYXzvcm5Y - transcript (automated).pdf","Transcript Link")</f>
        <v>Transcript Link</v>
      </c>
      <c r="M520" s="2" t="str">
        <f>HYPERLINK("https://files.afu.se/Downloads/Transcripts/0%20-%20Government/USA%20-%20NASA%20Kennedy/2018 06 29 - NASA's Kennedy Space Center - Dragon SpaceX CRS-15 Spacecraft Separation__fSYXzvcm5Y - transcript (automated).pdf","Transcript Link")</f>
        <v>Transcript Link</v>
      </c>
    </row>
    <row r="521" ht="180" spans="1:13">
      <c r="A521" s="1" t="s">
        <v>2404</v>
      </c>
      <c r="B521" s="1" t="s">
        <v>13</v>
      </c>
      <c r="C521" s="4" t="s">
        <v>2421</v>
      </c>
      <c r="D521" s="1" t="s">
        <v>2422</v>
      </c>
      <c r="E521" s="1" t="s">
        <v>2423</v>
      </c>
      <c r="F521" s="4" t="s">
        <v>17</v>
      </c>
      <c r="G521" s="1" t="s">
        <v>18</v>
      </c>
      <c r="H521" s="1" t="s">
        <v>19</v>
      </c>
      <c r="I521" s="1" t="s">
        <v>20</v>
      </c>
      <c r="J521" s="1" t="s">
        <v>2424</v>
      </c>
      <c r="K521" s="1" t="s">
        <v>22</v>
      </c>
      <c r="L521" s="1" t="str">
        <f>HYPERLINK("https://files.afu.se/Downloads/Transcripts/0%20-%20Government/USA%20-%20NASA%20Kennedy/2018 06 29 - NASA's Kennedy Space Center - SpaceX CRS-15 Liftoff_jCn3hu5XmD0 - transcript (automated).pdf","Transcript Link")</f>
        <v>Transcript Link</v>
      </c>
      <c r="M521" s="2" t="str">
        <f>HYPERLINK("https://files.afu.se/Downloads/Transcripts/0%20-%20Government/USA%20-%20NASA%20Kennedy/2018 06 29 - NASA's Kennedy Space Center - SpaceX CRS-15 Liftoff_jCn3hu5XmD0 - transcript (automated).pdf","Transcript Link")</f>
        <v>Transcript Link</v>
      </c>
    </row>
    <row r="522" ht="180" spans="1:13">
      <c r="A522" s="1" t="s">
        <v>2404</v>
      </c>
      <c r="B522" s="1" t="s">
        <v>13</v>
      </c>
      <c r="C522" s="4" t="s">
        <v>2425</v>
      </c>
      <c r="D522" s="1" t="s">
        <v>2426</v>
      </c>
      <c r="E522" s="1" t="s">
        <v>2098</v>
      </c>
      <c r="F522" s="4" t="s">
        <v>17</v>
      </c>
      <c r="G522" s="1" t="s">
        <v>18</v>
      </c>
      <c r="H522" s="1" t="s">
        <v>19</v>
      </c>
      <c r="I522" s="1" t="s">
        <v>20</v>
      </c>
      <c r="J522" s="1" t="s">
        <v>2427</v>
      </c>
      <c r="K522" s="1" t="s">
        <v>22</v>
      </c>
      <c r="L522" s="1" t="str">
        <f>HYPERLINK("https://files.afu.se/Downloads/Transcripts/0%20-%20Government/USA%20-%20NASA%20Kennedy/2018 06 29 - NASA's Kennedy Space Center - SpaceX CRS-15 Countdown Underway_JM-ufe7ryec - transcript (automated).pdf","Transcript Link")</f>
        <v>Transcript Link</v>
      </c>
      <c r="M522" s="2" t="str">
        <f>HYPERLINK("https://files.afu.se/Downloads/Transcripts/0%20-%20Government/USA%20-%20NASA%20Kennedy/2018 06 29 - NASA's Kennedy Space Center - SpaceX CRS-15 Countdown Underway_JM-ufe7ryec - transcript (automated).pdf","Transcript Link")</f>
        <v>Transcript Link</v>
      </c>
    </row>
    <row r="523" ht="180" spans="1:13">
      <c r="A523" s="1" t="s">
        <v>2428</v>
      </c>
      <c r="B523" s="1" t="s">
        <v>13</v>
      </c>
      <c r="C523" s="4" t="s">
        <v>2429</v>
      </c>
      <c r="D523" s="1" t="s">
        <v>2430</v>
      </c>
      <c r="E523" s="1" t="s">
        <v>2431</v>
      </c>
      <c r="F523" s="4" t="s">
        <v>17</v>
      </c>
      <c r="G523" s="1" t="s">
        <v>18</v>
      </c>
      <c r="H523" s="1" t="s">
        <v>19</v>
      </c>
      <c r="I523" s="1" t="s">
        <v>20</v>
      </c>
      <c r="J523" s="1" t="s">
        <v>2432</v>
      </c>
      <c r="K523" s="1" t="s">
        <v>22</v>
      </c>
      <c r="L523" s="1" t="str">
        <f>HYPERLINK("https://files.afu.se/Downloads/Transcripts/0%20-%20Government/USA%20-%20NASA%20Kennedy/2018 06 26 - NASA's Kennedy Space Center - Welcome to the Rocket Ranch Podcast_qnGVXoP1tZM - transcript (automated).pdf","Transcript Link")</f>
        <v>Transcript Link</v>
      </c>
      <c r="M523" s="2" t="str">
        <f>HYPERLINK("https://files.afu.se/Downloads/Transcripts/0%20-%20Government/USA%20-%20NASA%20Kennedy/2018 06 26 - NASA's Kennedy Space Center - Welcome to the Rocket Ranch Podcast_qnGVXoP1tZM - transcript (automated).pdf","Transcript Link")</f>
        <v>Transcript Link</v>
      </c>
    </row>
    <row r="524" ht="180" spans="1:13">
      <c r="A524" s="1" t="s">
        <v>2433</v>
      </c>
      <c r="B524" s="1" t="s">
        <v>13</v>
      </c>
      <c r="C524" s="4" t="s">
        <v>2434</v>
      </c>
      <c r="D524" s="1" t="s">
        <v>2435</v>
      </c>
      <c r="E524" s="1" t="s">
        <v>2436</v>
      </c>
      <c r="F524" s="4" t="s">
        <v>17</v>
      </c>
      <c r="G524" s="1" t="s">
        <v>18</v>
      </c>
      <c r="H524" s="1" t="s">
        <v>19</v>
      </c>
      <c r="I524" s="1" t="s">
        <v>20</v>
      </c>
      <c r="J524" s="1" t="s">
        <v>2437</v>
      </c>
      <c r="K524" s="1" t="s">
        <v>22</v>
      </c>
      <c r="L524" s="1" t="str">
        <f>HYPERLINK("https://files.afu.se/Downloads/Transcripts/0%20-%20Government/USA%20-%20NASA%20Kennedy/2018 06 22 - NASA's Kennedy Space Center - Inside KSC! for June 22, 2018_fhNN9NzU014 - transcript (automated).pdf","Transcript Link")</f>
        <v>Transcript Link</v>
      </c>
      <c r="M524" s="2" t="str">
        <f>HYPERLINK("https://files.afu.se/Downloads/Transcripts/0%20-%20Government/USA%20-%20NASA%20Kennedy/2018 06 22 - NASA's Kennedy Space Center - Inside KSC! for June 22, 2018_fhNN9NzU014 - transcript (automated).pdf","Transcript Link")</f>
        <v>Transcript Link</v>
      </c>
    </row>
    <row r="525" ht="180" spans="1:13">
      <c r="A525" s="1" t="s">
        <v>2438</v>
      </c>
      <c r="B525" s="1" t="s">
        <v>13</v>
      </c>
      <c r="C525" s="4" t="s">
        <v>2439</v>
      </c>
      <c r="D525" s="1" t="s">
        <v>2440</v>
      </c>
      <c r="E525" s="1" t="s">
        <v>2441</v>
      </c>
      <c r="F525" s="4" t="s">
        <v>17</v>
      </c>
      <c r="G525" s="1" t="s">
        <v>18</v>
      </c>
      <c r="H525" s="1" t="s">
        <v>19</v>
      </c>
      <c r="I525" s="1" t="s">
        <v>20</v>
      </c>
      <c r="J525" s="1" t="s">
        <v>2442</v>
      </c>
      <c r="K525" s="1" t="s">
        <v>22</v>
      </c>
      <c r="L525" s="1" t="str">
        <f>HYPERLINK("https://files.afu.se/Downloads/Transcripts/0%20-%20Government/USA%20-%20NASA%20Kennedy/2018 06 15 - NASA's Kennedy Space Center - Inside KSC! for June 15, 2018_W-X8x8gavow - transcript (automated).pdf","Transcript Link")</f>
        <v>Transcript Link</v>
      </c>
      <c r="M525" s="2" t="str">
        <f>HYPERLINK("https://files.afu.se/Downloads/Transcripts/0%20-%20Government/USA%20-%20NASA%20Kennedy/2018 06 15 - NASA's Kennedy Space Center - Inside KSC! for June 15, 2018_W-X8x8gavow - transcript (automated).pdf","Transcript Link")</f>
        <v>Transcript Link</v>
      </c>
    </row>
    <row r="526" ht="180" spans="1:13">
      <c r="A526" s="1" t="s">
        <v>2443</v>
      </c>
      <c r="B526" s="1" t="s">
        <v>13</v>
      </c>
      <c r="C526" s="4" t="s">
        <v>2444</v>
      </c>
      <c r="D526" s="1" t="s">
        <v>2445</v>
      </c>
      <c r="E526" s="1" t="s">
        <v>2446</v>
      </c>
      <c r="F526" s="4" t="s">
        <v>17</v>
      </c>
      <c r="G526" s="1" t="s">
        <v>18</v>
      </c>
      <c r="H526" s="1" t="s">
        <v>19</v>
      </c>
      <c r="I526" s="1" t="s">
        <v>20</v>
      </c>
      <c r="J526" s="1" t="s">
        <v>2447</v>
      </c>
      <c r="K526" s="1" t="s">
        <v>22</v>
      </c>
      <c r="L526" s="1" t="str">
        <f>HYPERLINK("https://files.afu.se/Downloads/Transcripts/0%20-%20Government/USA%20-%20NASA%20Kennedy/2018 06 11 - NASA's Kennedy Space Center - Inside KSC! for June 11, 2018_UafcXBa5v6s - transcript (automated).pdf","Transcript Link")</f>
        <v>Transcript Link</v>
      </c>
      <c r="M526" s="2" t="str">
        <f>HYPERLINK("https://files.afu.se/Downloads/Transcripts/0%20-%20Government/USA%20-%20NASA%20Kennedy/2018 06 11 - NASA's Kennedy Space Center - Inside KSC! for June 11, 2018_UafcXBa5v6s - transcript (automated).pdf","Transcript Link")</f>
        <v>Transcript Link</v>
      </c>
    </row>
    <row r="527" ht="180" spans="1:13">
      <c r="A527" s="1" t="s">
        <v>2443</v>
      </c>
      <c r="B527" s="1" t="s">
        <v>13</v>
      </c>
      <c r="C527" s="4" t="s">
        <v>2448</v>
      </c>
      <c r="D527" s="1" t="s">
        <v>2449</v>
      </c>
      <c r="E527" s="1" t="s">
        <v>2450</v>
      </c>
      <c r="F527" s="4" t="s">
        <v>17</v>
      </c>
      <c r="G527" s="1" t="s">
        <v>18</v>
      </c>
      <c r="H527" s="1" t="s">
        <v>19</v>
      </c>
      <c r="I527" s="1" t="s">
        <v>20</v>
      </c>
      <c r="J527" s="1" t="s">
        <v>2451</v>
      </c>
      <c r="K527" s="1" t="s">
        <v>22</v>
      </c>
      <c r="L527" s="1" t="str">
        <f>HYPERLINK("https://files.afu.se/Downloads/Transcripts/0%20-%20Government/USA%20-%20NASA%20Kennedy/2018 06 11 - NASA's Kennedy Space Center - Did You Know...Crawlerway at NASA's Kennedy Space Center_7_Api3f49LE - transcript (automated).pdf","Transcript Link")</f>
        <v>Transcript Link</v>
      </c>
      <c r="M527" s="2" t="str">
        <f>HYPERLINK("https://files.afu.se/Downloads/Transcripts/0%20-%20Government/USA%20-%20NASA%20Kennedy/2018 06 11 - NASA's Kennedy Space Center - Did You Know...Crawlerway at NASA's Kennedy Space Center_7_Api3f49LE - transcript (automated).pdf","Transcript Link")</f>
        <v>Transcript Link</v>
      </c>
    </row>
    <row r="528" ht="180" spans="1:13">
      <c r="A528" s="1" t="s">
        <v>2452</v>
      </c>
      <c r="B528" s="1" t="s">
        <v>13</v>
      </c>
      <c r="C528" s="4" t="s">
        <v>2453</v>
      </c>
      <c r="D528" s="1" t="s">
        <v>2454</v>
      </c>
      <c r="E528" s="1" t="s">
        <v>2455</v>
      </c>
      <c r="F528" s="4" t="s">
        <v>17</v>
      </c>
      <c r="G528" s="1" t="s">
        <v>18</v>
      </c>
      <c r="H528" s="1" t="s">
        <v>19</v>
      </c>
      <c r="I528" s="1" t="s">
        <v>20</v>
      </c>
      <c r="J528" s="1" t="s">
        <v>2456</v>
      </c>
      <c r="K528" s="1" t="s">
        <v>22</v>
      </c>
      <c r="L528" s="1" t="str">
        <f>HYPERLINK("https://files.afu.se/Downloads/Transcripts/0%20-%20Government/USA%20-%20NASA%20Kennedy/2018 06 05 - NASA's Kennedy Space Center - Main Flame Deflector Installed at Launch Pad 39B_9matDigB2w4 - transcript (automated).pdf","Transcript Link")</f>
        <v>Transcript Link</v>
      </c>
      <c r="M528" s="2" t="str">
        <f>HYPERLINK("https://files.afu.se/Downloads/Transcripts/0%20-%20Government/USA%20-%20NASA%20Kennedy/2018 06 05 - NASA's Kennedy Space Center - Main Flame Deflector Installed at Launch Pad 39B_9matDigB2w4 - transcript (automated).pdf","Transcript Link")</f>
        <v>Transcript Link</v>
      </c>
    </row>
    <row r="529" ht="180" spans="1:13">
      <c r="A529" s="1" t="s">
        <v>2457</v>
      </c>
      <c r="B529" s="1" t="s">
        <v>13</v>
      </c>
      <c r="C529" s="4" t="s">
        <v>2458</v>
      </c>
      <c r="D529" s="1" t="s">
        <v>2459</v>
      </c>
      <c r="E529" s="1" t="s">
        <v>2460</v>
      </c>
      <c r="F529" s="4" t="s">
        <v>17</v>
      </c>
      <c r="G529" s="1" t="s">
        <v>18</v>
      </c>
      <c r="H529" s="1" t="s">
        <v>19</v>
      </c>
      <c r="I529" s="1" t="s">
        <v>20</v>
      </c>
      <c r="J529" s="1" t="s">
        <v>2461</v>
      </c>
      <c r="K529" s="1" t="s">
        <v>22</v>
      </c>
      <c r="L529" s="1" t="str">
        <f>HYPERLINK("https://files.afu.se/Downloads/Transcripts/0%20-%20Government/USA%20-%20NASA%20Kennedy/2018 06 01 - NASA's Kennedy Space Center - Inside KSC! for June 1, 2018_fXcgsT6hddM - transcript (automated).pdf","Transcript Link")</f>
        <v>Transcript Link</v>
      </c>
      <c r="M529" s="2" t="str">
        <f>HYPERLINK("https://files.afu.se/Downloads/Transcripts/0%20-%20Government/USA%20-%20NASA%20Kennedy/2018 06 01 - NASA's Kennedy Space Center - Inside KSC! for June 1, 2018_fXcgsT6hddM - transcript (automated).pdf","Transcript Link")</f>
        <v>Transcript Link</v>
      </c>
    </row>
    <row r="530" ht="180" spans="1:13">
      <c r="A530" s="1" t="s">
        <v>2462</v>
      </c>
      <c r="B530" s="1" t="s">
        <v>13</v>
      </c>
      <c r="C530" s="4" t="s">
        <v>2463</v>
      </c>
      <c r="D530" s="1" t="s">
        <v>2464</v>
      </c>
      <c r="E530" s="1" t="s">
        <v>2465</v>
      </c>
      <c r="F530" s="4" t="s">
        <v>17</v>
      </c>
      <c r="G530" s="1" t="s">
        <v>18</v>
      </c>
      <c r="H530" s="1" t="s">
        <v>19</v>
      </c>
      <c r="I530" s="1" t="s">
        <v>20</v>
      </c>
      <c r="J530" s="1" t="s">
        <v>2466</v>
      </c>
      <c r="K530" s="1" t="s">
        <v>22</v>
      </c>
      <c r="L530" s="1" t="str">
        <f>HYPERLINK("https://files.afu.se/Downloads/Transcripts/0%20-%20Government/USA%20-%20NASA%20Kennedy/2018 05 25 - NASA's Kennedy Space Center - Inside KSC! for May 25, 2018_sji3K7e4GHA - transcript (automated).pdf","Transcript Link")</f>
        <v>Transcript Link</v>
      </c>
      <c r="M530" s="2" t="str">
        <f>HYPERLINK("https://files.afu.se/Downloads/Transcripts/0%20-%20Government/USA%20-%20NASA%20Kennedy/2018 05 25 - NASA's Kennedy Space Center - Inside KSC! for May 25, 2018_sji3K7e4GHA - transcript (automated).pdf","Transcript Link")</f>
        <v>Transcript Link</v>
      </c>
    </row>
    <row r="531" ht="180" spans="1:13">
      <c r="A531" s="1" t="s">
        <v>2467</v>
      </c>
      <c r="B531" s="1" t="s">
        <v>13</v>
      </c>
      <c r="C531" s="4" t="s">
        <v>2468</v>
      </c>
      <c r="D531" s="1" t="s">
        <v>2469</v>
      </c>
      <c r="E531" s="1" t="s">
        <v>2470</v>
      </c>
      <c r="F531" s="4" t="s">
        <v>17</v>
      </c>
      <c r="G531" s="1" t="s">
        <v>18</v>
      </c>
      <c r="H531" s="1" t="s">
        <v>19</v>
      </c>
      <c r="I531" s="1" t="s">
        <v>20</v>
      </c>
      <c r="J531" s="1" t="s">
        <v>2471</v>
      </c>
      <c r="K531" s="1" t="s">
        <v>22</v>
      </c>
      <c r="L531" s="1" t="str">
        <f>HYPERLINK("https://files.afu.se/Downloads/Transcripts/0%20-%20Government/USA%20-%20NASA%20Kennedy/2018 05 22 - NASA's Kennedy Space Center - GRACE-FO Launches Aboard SpaceX Falcon 9_vY8d6vQ6rhY - transcript (automated).pdf","Transcript Link")</f>
        <v>Transcript Link</v>
      </c>
      <c r="M531" s="2" t="str">
        <f>HYPERLINK("https://files.afu.se/Downloads/Transcripts/0%20-%20Government/USA%20-%20NASA%20Kennedy/2018 05 22 - NASA's Kennedy Space Center - GRACE-FO Launches Aboard SpaceX Falcon 9_vY8d6vQ6rhY - transcript (automated).pdf","Transcript Link")</f>
        <v>Transcript Link</v>
      </c>
    </row>
    <row r="532" ht="180" spans="1:13">
      <c r="A532" s="1" t="s">
        <v>2472</v>
      </c>
      <c r="B532" s="1" t="s">
        <v>13</v>
      </c>
      <c r="C532" s="4" t="s">
        <v>2473</v>
      </c>
      <c r="D532" s="1" t="s">
        <v>2474</v>
      </c>
      <c r="E532" s="1" t="s">
        <v>2475</v>
      </c>
      <c r="F532" s="4" t="s">
        <v>17</v>
      </c>
      <c r="G532" s="1" t="s">
        <v>18</v>
      </c>
      <c r="H532" s="1" t="s">
        <v>19</v>
      </c>
      <c r="I532" s="1" t="s">
        <v>20</v>
      </c>
      <c r="J532" s="1" t="s">
        <v>2476</v>
      </c>
      <c r="K532" s="1" t="s">
        <v>22</v>
      </c>
      <c r="L532" s="1" t="str">
        <f>HYPERLINK("https://files.afu.se/Downloads/Transcripts/0%20-%20Government/USA%20-%20NASA%20Kennedy/2018 05 18 - NASA's Kennedy Space Center - Inside KSC! for May 18, 2018_9rkv4oq53OE - transcript (automated).pdf","Transcript Link")</f>
        <v>Transcript Link</v>
      </c>
      <c r="M532" s="2" t="str">
        <f>HYPERLINK("https://files.afu.se/Downloads/Transcripts/0%20-%20Government/USA%20-%20NASA%20Kennedy/2018 05 18 - NASA's Kennedy Space Center - Inside KSC! for May 18, 2018_9rkv4oq53OE - transcript (automated).pdf","Transcript Link")</f>
        <v>Transcript Link</v>
      </c>
    </row>
    <row r="533" ht="180" spans="1:13">
      <c r="A533" s="1" t="s">
        <v>2477</v>
      </c>
      <c r="B533" s="1" t="s">
        <v>13</v>
      </c>
      <c r="C533" s="4" t="s">
        <v>2478</v>
      </c>
      <c r="D533" s="1" t="s">
        <v>2479</v>
      </c>
      <c r="E533" s="1" t="s">
        <v>2480</v>
      </c>
      <c r="F533" s="4" t="s">
        <v>17</v>
      </c>
      <c r="G533" s="1" t="s">
        <v>18</v>
      </c>
      <c r="H533" s="1" t="s">
        <v>19</v>
      </c>
      <c r="I533" s="1" t="s">
        <v>20</v>
      </c>
      <c r="J533" s="1" t="s">
        <v>2481</v>
      </c>
      <c r="K533" s="1" t="s">
        <v>22</v>
      </c>
      <c r="L533" s="1" t="str">
        <f>HYPERLINK("https://files.afu.se/Downloads/Transcripts/0%20-%20Government/USA%20-%20NASA%20Kennedy/2018 05 11 - NASA's Kennedy Space Center - Inside KSC! for May 11, 2018_DgpwocZjg7w - transcript (automated).pdf","Transcript Link")</f>
        <v>Transcript Link</v>
      </c>
      <c r="M533" s="2" t="str">
        <f>HYPERLINK("https://files.afu.se/Downloads/Transcripts/0%20-%20Government/USA%20-%20NASA%20Kennedy/2018 05 11 - NASA's Kennedy Space Center - Inside KSC! for May 11, 2018_DgpwocZjg7w - transcript (automated).pdf","Transcript Link")</f>
        <v>Transcript Link</v>
      </c>
    </row>
    <row r="534" ht="180" spans="1:13">
      <c r="A534" s="1" t="s">
        <v>2482</v>
      </c>
      <c r="B534" s="1" t="s">
        <v>13</v>
      </c>
      <c r="C534" s="4" t="s">
        <v>2483</v>
      </c>
      <c r="D534" s="1" t="s">
        <v>2218</v>
      </c>
      <c r="E534" s="1" t="s">
        <v>2484</v>
      </c>
      <c r="F534" s="4" t="s">
        <v>17</v>
      </c>
      <c r="G534" s="1" t="s">
        <v>18</v>
      </c>
      <c r="H534" s="1" t="s">
        <v>19</v>
      </c>
      <c r="I534" s="1" t="s">
        <v>20</v>
      </c>
      <c r="J534" s="1" t="s">
        <v>2485</v>
      </c>
      <c r="K534" s="1" t="s">
        <v>22</v>
      </c>
      <c r="L534" s="1" t="str">
        <f>HYPERLINK("https://files.afu.se/Downloads/Transcripts/0%20-%20Government/USA%20-%20NASA%20Kennedy/2018 05 05 - NASA's Kennedy Space Center - Interview with NASA Launch Director_NisclMyoAkM - transcript (automated).pdf","Transcript Link")</f>
        <v>Transcript Link</v>
      </c>
      <c r="M534" s="2" t="str">
        <f>HYPERLINK("https://files.afu.se/Downloads/Transcripts/0%20-%20Government/USA%20-%20NASA%20Kennedy/2018 05 05 - NASA's Kennedy Space Center - Interview with NASA Launch Director_NisclMyoAkM - transcript (automated).pdf","Transcript Link")</f>
        <v>Transcript Link</v>
      </c>
    </row>
    <row r="535" ht="180" spans="1:13">
      <c r="A535" s="1" t="s">
        <v>2482</v>
      </c>
      <c r="B535" s="1" t="s">
        <v>13</v>
      </c>
      <c r="C535" s="4" t="s">
        <v>2486</v>
      </c>
      <c r="D535" s="1" t="s">
        <v>2487</v>
      </c>
      <c r="E535" s="1" t="s">
        <v>2488</v>
      </c>
      <c r="F535" s="4" t="s">
        <v>17</v>
      </c>
      <c r="G535" s="1" t="s">
        <v>18</v>
      </c>
      <c r="H535" s="1" t="s">
        <v>19</v>
      </c>
      <c r="I535" s="1" t="s">
        <v>20</v>
      </c>
      <c r="J535" s="1" t="s">
        <v>2489</v>
      </c>
      <c r="K535" s="1" t="s">
        <v>22</v>
      </c>
      <c r="L535" s="1" t="str">
        <f>HYPERLINK("https://files.afu.se/Downloads/Transcripts/0%20-%20Government/USA%20-%20NASA%20Kennedy/2018 05 05 - NASA's Kennedy Space Center - NASA Administrator Addresses InSight Launch Team_9ybr-x2ldPk - transcript (automated).pdf","Transcript Link")</f>
        <v>Transcript Link</v>
      </c>
      <c r="M535" s="2" t="str">
        <f>HYPERLINK("https://files.afu.se/Downloads/Transcripts/0%20-%20Government/USA%20-%20NASA%20Kennedy/2018 05 05 - NASA's Kennedy Space Center - NASA Administrator Addresses InSight Launch Team_9ybr-x2ldPk - transcript (automated).pdf","Transcript Link")</f>
        <v>Transcript Link</v>
      </c>
    </row>
    <row r="536" ht="195" spans="1:13">
      <c r="A536" s="1" t="s">
        <v>2482</v>
      </c>
      <c r="B536" s="1" t="s">
        <v>13</v>
      </c>
      <c r="C536" s="4" t="s">
        <v>2490</v>
      </c>
      <c r="D536" s="1" t="s">
        <v>2491</v>
      </c>
      <c r="E536" s="1" t="s">
        <v>2492</v>
      </c>
      <c r="F536" s="4" t="s">
        <v>17</v>
      </c>
      <c r="G536" s="1" t="s">
        <v>18</v>
      </c>
      <c r="H536" s="1" t="s">
        <v>19</v>
      </c>
      <c r="I536" s="1" t="s">
        <v>20</v>
      </c>
      <c r="J536" s="1" t="s">
        <v>2493</v>
      </c>
      <c r="K536" s="1" t="s">
        <v>22</v>
      </c>
      <c r="L536" s="1" t="str">
        <f>HYPERLINK("https://files.afu.se/Downloads/Transcripts/0%20-%20Government/USA%20-%20NASA%20Kennedy/2018 05 05 - NASA's Kennedy Space Center - InSight, MarCO Cubesats Separate from Atlas V Centaur Upper Stage_WKLlI3ndF2s - transcript (automated).pdf","Transcript Link")</f>
        <v>Transcript Link</v>
      </c>
      <c r="M536" s="2" t="str">
        <f>HYPERLINK("https://files.afu.se/Downloads/Transcripts/0%20-%20Government/USA%20-%20NASA%20Kennedy/2018 05 05 - NASA's Kennedy Space Center - InSight, MarCO Cubesats Separate from Atlas V Centaur Upper Stage_WKLlI3ndF2s - transcript (automated).pdf","Transcript Link")</f>
        <v>Transcript Link</v>
      </c>
    </row>
    <row r="537" ht="180" spans="1:13">
      <c r="A537" s="1" t="s">
        <v>2482</v>
      </c>
      <c r="B537" s="1" t="s">
        <v>13</v>
      </c>
      <c r="C537" s="4" t="s">
        <v>2494</v>
      </c>
      <c r="D537" s="1" t="s">
        <v>2495</v>
      </c>
      <c r="E537" s="1" t="s">
        <v>2496</v>
      </c>
      <c r="F537" s="4" t="s">
        <v>17</v>
      </c>
      <c r="G537" s="1" t="s">
        <v>18</v>
      </c>
      <c r="H537" s="1" t="s">
        <v>19</v>
      </c>
      <c r="I537" s="1" t="s">
        <v>20</v>
      </c>
      <c r="J537" s="1" t="s">
        <v>2497</v>
      </c>
      <c r="K537" s="1" t="s">
        <v>22</v>
      </c>
      <c r="L537" s="1" t="str">
        <f>HYPERLINK("https://files.afu.se/Downloads/Transcripts/0%20-%20Government/USA%20-%20NASA%20Kennedy/2018 05 05 - NASA's Kennedy Space Center - Liftoff of InSight_VKQ-6WCbHis - transcript (automated).pdf","Transcript Link")</f>
        <v>Transcript Link</v>
      </c>
      <c r="M537" s="2" t="str">
        <f>HYPERLINK("https://files.afu.se/Downloads/Transcripts/0%20-%20Government/USA%20-%20NASA%20Kennedy/2018 05 05 - NASA's Kennedy Space Center - Liftoff of InSight_VKQ-6WCbHis - transcript (automated).pdf","Transcript Link")</f>
        <v>Transcript Link</v>
      </c>
    </row>
    <row r="538" ht="180" spans="1:13">
      <c r="A538" s="1" t="s">
        <v>2482</v>
      </c>
      <c r="B538" s="1" t="s">
        <v>13</v>
      </c>
      <c r="C538" s="4" t="s">
        <v>2498</v>
      </c>
      <c r="D538" s="1" t="s">
        <v>2499</v>
      </c>
      <c r="E538" s="1" t="s">
        <v>2500</v>
      </c>
      <c r="F538" s="4" t="s">
        <v>17</v>
      </c>
      <c r="G538" s="1" t="s">
        <v>18</v>
      </c>
      <c r="H538" s="1" t="s">
        <v>19</v>
      </c>
      <c r="I538" s="1" t="s">
        <v>20</v>
      </c>
      <c r="J538" s="1" t="s">
        <v>2501</v>
      </c>
      <c r="K538" s="1" t="s">
        <v>22</v>
      </c>
      <c r="L538" s="1" t="str">
        <f>HYPERLINK("https://files.afu.se/Downloads/Transcripts/0%20-%20Government/USA%20-%20NASA%20Kennedy/2018 05 05 - NASA's Kennedy Space Center - InSight, Atlas are  Go  for Launch_xBSLW0VTr4M - transcript (automated).pdf","Transcript Link")</f>
        <v>Transcript Link</v>
      </c>
      <c r="M538" s="2" t="str">
        <f>HYPERLINK("https://files.afu.se/Downloads/Transcripts/0%20-%20Government/USA%20-%20NASA%20Kennedy/2018 05 05 - NASA's Kennedy Space Center - InSight, Atlas are  Go  for Launch_xBSLW0VTr4M - transcript (automated).pdf","Transcript Link")</f>
        <v>Transcript Link</v>
      </c>
    </row>
    <row r="539" ht="180" spans="1:13">
      <c r="A539" s="1" t="s">
        <v>2482</v>
      </c>
      <c r="B539" s="1" t="s">
        <v>13</v>
      </c>
      <c r="C539" s="4" t="s">
        <v>2502</v>
      </c>
      <c r="D539" s="1" t="s">
        <v>2503</v>
      </c>
      <c r="E539" s="1" t="s">
        <v>2504</v>
      </c>
      <c r="F539" s="4" t="s">
        <v>17</v>
      </c>
      <c r="G539" s="1" t="s">
        <v>18</v>
      </c>
      <c r="H539" s="1" t="s">
        <v>19</v>
      </c>
      <c r="I539" s="1" t="s">
        <v>20</v>
      </c>
      <c r="J539" s="1" t="s">
        <v>2505</v>
      </c>
      <c r="K539" s="1" t="s">
        <v>22</v>
      </c>
      <c r="L539" s="1" t="str">
        <f>HYPERLINK("https://files.afu.se/Downloads/Transcripts/0%20-%20Government/USA%20-%20NASA%20Kennedy/2018 05 05 - NASA's Kennedy Space Center - NASA's InSight Ready for Launch Atop Atlas V_CxLxfaxjq5Y - transcript (automated).pdf","Transcript Link")</f>
        <v>Transcript Link</v>
      </c>
      <c r="M539" s="2" t="str">
        <f>HYPERLINK("https://files.afu.se/Downloads/Transcripts/0%20-%20Government/USA%20-%20NASA%20Kennedy/2018 05 05 - NASA's Kennedy Space Center - NASA's InSight Ready for Launch Atop Atlas V_CxLxfaxjq5Y - transcript (automated).pdf","Transcript Link")</f>
        <v>Transcript Link</v>
      </c>
    </row>
    <row r="540" ht="180" spans="1:13">
      <c r="A540" s="1" t="s">
        <v>2506</v>
      </c>
      <c r="B540" s="1" t="s">
        <v>13</v>
      </c>
      <c r="C540" s="4" t="s">
        <v>2507</v>
      </c>
      <c r="D540" s="1" t="s">
        <v>2508</v>
      </c>
      <c r="E540" s="1" t="s">
        <v>2509</v>
      </c>
      <c r="F540" s="4" t="s">
        <v>17</v>
      </c>
      <c r="G540" s="1" t="s">
        <v>18</v>
      </c>
      <c r="H540" s="1" t="s">
        <v>19</v>
      </c>
      <c r="I540" s="1" t="s">
        <v>20</v>
      </c>
      <c r="J540" s="1" t="s">
        <v>2510</v>
      </c>
      <c r="K540" s="1" t="s">
        <v>22</v>
      </c>
      <c r="L540" s="1" t="str">
        <f>HYPERLINK("https://files.afu.se/Downloads/Transcripts/0%20-%20Government/USA%20-%20NASA%20Kennedy/2018 05 04 - NASA's Kennedy Space Center - Inside KSC! for May 4, 2018_VONBwpYci64 - transcript (automated).pdf","Transcript Link")</f>
        <v>Transcript Link</v>
      </c>
      <c r="M540" s="2" t="str">
        <f>HYPERLINK("https://files.afu.se/Downloads/Transcripts/0%20-%20Government/USA%20-%20NASA%20Kennedy/2018 05 04 - NASA's Kennedy Space Center - Inside KSC! for May 4, 2018_VONBwpYci64 - transcript (automated).pdf","Transcript Link")</f>
        <v>Transcript Link</v>
      </c>
    </row>
    <row r="541" ht="180" spans="1:13">
      <c r="A541" s="1" t="s">
        <v>2511</v>
      </c>
      <c r="B541" s="1" t="s">
        <v>13</v>
      </c>
      <c r="C541" s="4" t="s">
        <v>2512</v>
      </c>
      <c r="D541" s="1" t="s">
        <v>2513</v>
      </c>
      <c r="E541" s="1" t="s">
        <v>2514</v>
      </c>
      <c r="F541" s="4" t="s">
        <v>17</v>
      </c>
      <c r="G541" s="1" t="s">
        <v>18</v>
      </c>
      <c r="H541" s="1" t="s">
        <v>19</v>
      </c>
      <c r="I541" s="1" t="s">
        <v>20</v>
      </c>
      <c r="J541" s="1" t="s">
        <v>2515</v>
      </c>
      <c r="K541" s="1" t="s">
        <v>22</v>
      </c>
      <c r="L541" s="1" t="str">
        <f>HYPERLINK("https://files.afu.se/Downloads/Transcripts/0%20-%20Government/USA%20-%20NASA%20Kennedy/2018 05 03 - NASA's Kennedy Space Center - InSight Countdown to T-Zero, Episode 2  Into the Fairing_YKVhjdWitsg - transcript (automated).pdf","Transcript Link")</f>
        <v>Transcript Link</v>
      </c>
      <c r="M541" s="2" t="str">
        <f>HYPERLINK("https://files.afu.se/Downloads/Transcripts/0%20-%20Government/USA%20-%20NASA%20Kennedy/2018 05 03 - NASA's Kennedy Space Center - InSight Countdown to T-Zero, Episode 2  Into the Fairing_YKVhjdWitsg - transcript (automated).pdf","Transcript Link")</f>
        <v>Transcript Link</v>
      </c>
    </row>
    <row r="542" ht="180" spans="1:13">
      <c r="A542" s="1" t="s">
        <v>2511</v>
      </c>
      <c r="B542" s="1" t="s">
        <v>13</v>
      </c>
      <c r="C542" s="4" t="s">
        <v>2516</v>
      </c>
      <c r="D542" s="1" t="s">
        <v>2517</v>
      </c>
      <c r="E542" s="1" t="s">
        <v>2518</v>
      </c>
      <c r="F542" s="4" t="s">
        <v>17</v>
      </c>
      <c r="G542" s="1" t="s">
        <v>18</v>
      </c>
      <c r="H542" s="1" t="s">
        <v>19</v>
      </c>
      <c r="I542" s="1" t="s">
        <v>20</v>
      </c>
      <c r="J542" s="1" t="s">
        <v>2519</v>
      </c>
      <c r="K542" s="1" t="s">
        <v>22</v>
      </c>
      <c r="L542" s="1" t="str">
        <f>HYPERLINK("https://files.afu.se/Downloads/Transcripts/0%20-%20Government/USA%20-%20NASA%20Kennedy/2018 05 03 - NASA's Kennedy Space Center - Innovators Dig Deep in NASA’s Robotic Mining Competition_siD4mNuTL-8 - transcript (automated).pdf","Transcript Link")</f>
        <v>Transcript Link</v>
      </c>
      <c r="M542" s="2" t="str">
        <f>HYPERLINK("https://files.afu.se/Downloads/Transcripts/0%20-%20Government/USA%20-%20NASA%20Kennedy/2018 05 03 - NASA's Kennedy Space Center - Innovators Dig Deep in NASA’s Robotic Mining Competition_siD4mNuTL-8 - transcript (automated).pdf","Transcript Link")</f>
        <v>Transcript Link</v>
      </c>
    </row>
    <row r="543" ht="180" spans="1:13">
      <c r="A543" s="1" t="s">
        <v>2520</v>
      </c>
      <c r="B543" s="1" t="s">
        <v>13</v>
      </c>
      <c r="C543" s="4" t="s">
        <v>2521</v>
      </c>
      <c r="D543" s="1" t="s">
        <v>2522</v>
      </c>
      <c r="E543" s="1" t="s">
        <v>2523</v>
      </c>
      <c r="F543" s="4" t="s">
        <v>17</v>
      </c>
      <c r="G543" s="1" t="s">
        <v>18</v>
      </c>
      <c r="H543" s="1" t="s">
        <v>19</v>
      </c>
      <c r="I543" s="1" t="s">
        <v>20</v>
      </c>
      <c r="J543" s="1" t="s">
        <v>2524</v>
      </c>
      <c r="K543" s="1" t="s">
        <v>22</v>
      </c>
      <c r="L543" s="1" t="str">
        <f>HYPERLINK("https://files.afu.se/Downloads/Transcripts/0%20-%20Government/USA%20-%20NASA%20Kennedy/2018 05 02 - NASA's Kennedy Space Center - InSight Countdown to T-Zero  From the West Coast to the Red Planet_U3tNa0sxmu0 - transcript (automated).pdf","Transcript Link")</f>
        <v>Transcript Link</v>
      </c>
      <c r="M543" s="2" t="str">
        <f>HYPERLINK("https://files.afu.se/Downloads/Transcripts/0%20-%20Government/USA%20-%20NASA%20Kennedy/2018 05 02 - NASA's Kennedy Space Center - InSight Countdown to T-Zero  From the West Coast to the Red Planet_U3tNa0sxmu0 - transcript (automated).pdf","Transcript Link")</f>
        <v>Transcript Link</v>
      </c>
    </row>
    <row r="544" ht="180" spans="1:13">
      <c r="A544" s="1" t="s">
        <v>2525</v>
      </c>
      <c r="B544" s="1" t="s">
        <v>13</v>
      </c>
      <c r="C544" s="4" t="s">
        <v>2526</v>
      </c>
      <c r="D544" s="1" t="s">
        <v>2527</v>
      </c>
      <c r="E544" s="1" t="s">
        <v>2528</v>
      </c>
      <c r="F544" s="4" t="s">
        <v>17</v>
      </c>
      <c r="G544" s="1" t="s">
        <v>18</v>
      </c>
      <c r="H544" s="1" t="s">
        <v>19</v>
      </c>
      <c r="I544" s="1" t="s">
        <v>20</v>
      </c>
      <c r="J544" s="1" t="s">
        <v>2529</v>
      </c>
      <c r="K544" s="1" t="s">
        <v>22</v>
      </c>
      <c r="L544" s="1" t="str">
        <f>HYPERLINK("https://files.afu.se/Downloads/Transcripts/0%20-%20Government/USA%20-%20NASA%20Kennedy/2018 04 27 - NASA's Kennedy Space Center - Inside KSC! for April 27, 2018_ncUelhK7DmI - transcript (automated).pdf","Transcript Link")</f>
        <v>Transcript Link</v>
      </c>
      <c r="M544" s="2" t="str">
        <f>HYPERLINK("https://files.afu.se/Downloads/Transcripts/0%20-%20Government/USA%20-%20NASA%20Kennedy/2018 04 27 - NASA's Kennedy Space Center - Inside KSC! for April 27, 2018_ncUelhK7DmI - transcript (automated).pdf","Transcript Link")</f>
        <v>Transcript Link</v>
      </c>
    </row>
    <row r="545" ht="180" spans="1:13">
      <c r="A545" s="1" t="s">
        <v>2530</v>
      </c>
      <c r="B545" s="1" t="s">
        <v>13</v>
      </c>
      <c r="C545" s="4" t="s">
        <v>2531</v>
      </c>
      <c r="D545" s="1" t="s">
        <v>2532</v>
      </c>
      <c r="E545" s="1" t="s">
        <v>2533</v>
      </c>
      <c r="F545" s="4" t="s">
        <v>17</v>
      </c>
      <c r="G545" s="1" t="s">
        <v>18</v>
      </c>
      <c r="H545" s="1" t="s">
        <v>19</v>
      </c>
      <c r="I545" s="1" t="s">
        <v>20</v>
      </c>
      <c r="J545" s="1" t="s">
        <v>2534</v>
      </c>
      <c r="K545" s="1" t="s">
        <v>22</v>
      </c>
      <c r="L545" s="1" t="str">
        <f>HYPERLINK("https://files.afu.se/Downloads/Transcripts/0%20-%20Government/USA%20-%20NASA%20Kennedy/2018 04 20 - NASA's Kennedy Space Center - Inside KSC! for April 20, 2018_IxePMPZNUW4 - transcript (automated).pdf","Transcript Link")</f>
        <v>Transcript Link</v>
      </c>
      <c r="M545" s="2" t="str">
        <f>HYPERLINK("https://files.afu.se/Downloads/Transcripts/0%20-%20Government/USA%20-%20NASA%20Kennedy/2018 04 20 - NASA's Kennedy Space Center - Inside KSC! for April 20, 2018_IxePMPZNUW4 - transcript (automated).pdf","Transcript Link")</f>
        <v>Transcript Link</v>
      </c>
    </row>
    <row r="546" ht="180" spans="1:13">
      <c r="A546" s="1" t="s">
        <v>2535</v>
      </c>
      <c r="B546" s="1" t="s">
        <v>13</v>
      </c>
      <c r="C546" s="4" t="s">
        <v>2536</v>
      </c>
      <c r="D546" s="1" t="s">
        <v>2537</v>
      </c>
      <c r="E546" s="1" t="s">
        <v>2538</v>
      </c>
      <c r="F546" s="4" t="s">
        <v>17</v>
      </c>
      <c r="G546" s="1" t="s">
        <v>18</v>
      </c>
      <c r="H546" s="1" t="s">
        <v>19</v>
      </c>
      <c r="I546" s="1" t="s">
        <v>20</v>
      </c>
      <c r="J546" s="1" t="s">
        <v>2539</v>
      </c>
      <c r="K546" s="1" t="s">
        <v>22</v>
      </c>
      <c r="L546" s="1" t="str">
        <f>HYPERLINK("https://files.afu.se/Downloads/Transcripts/0%20-%20Government/USA%20-%20NASA%20Kennedy/2018 04 19 - NASA's Kennedy Space Center - Interview with NASA's Tim Dunn_EswMsWT_1YI - transcript (automated).pdf","Transcript Link")</f>
        <v>Transcript Link</v>
      </c>
      <c r="M546" s="2" t="str">
        <f>HYPERLINK("https://files.afu.se/Downloads/Transcripts/0%20-%20Government/USA%20-%20NASA%20Kennedy/2018 04 19 - NASA's Kennedy Space Center - Interview with NASA's Tim Dunn_EswMsWT_1YI - transcript (automated).pdf","Transcript Link")</f>
        <v>Transcript Link</v>
      </c>
    </row>
    <row r="547" ht="180" spans="1:13">
      <c r="A547" s="1" t="s">
        <v>2540</v>
      </c>
      <c r="B547" s="1" t="s">
        <v>13</v>
      </c>
      <c r="C547" s="4" t="s">
        <v>2541</v>
      </c>
      <c r="D547" s="1" t="s">
        <v>2542</v>
      </c>
      <c r="E547" s="1" t="s">
        <v>2543</v>
      </c>
      <c r="F547" s="4" t="s">
        <v>17</v>
      </c>
      <c r="G547" s="1" t="s">
        <v>18</v>
      </c>
      <c r="H547" s="1" t="s">
        <v>19</v>
      </c>
      <c r="I547" s="1" t="s">
        <v>20</v>
      </c>
      <c r="J547" s="1" t="s">
        <v>2544</v>
      </c>
      <c r="K547" s="1" t="s">
        <v>22</v>
      </c>
      <c r="L547" s="1" t="str">
        <f>HYPERLINK("https://files.afu.se/Downloads/Transcripts/0%20-%20Government/USA%20-%20NASA%20Kennedy/2018 04 18 - NASA's Kennedy Space Center - NASA's TESS Ready for Launch Atop Falcon 9_R8V40NgJnEs - transcript (automated).pdf","Transcript Link")</f>
        <v>Transcript Link</v>
      </c>
      <c r="M547" s="2" t="str">
        <f>HYPERLINK("https://files.afu.se/Downloads/Transcripts/0%20-%20Government/USA%20-%20NASA%20Kennedy/2018 04 18 - NASA's Kennedy Space Center - NASA's TESS Ready for Launch Atop Falcon 9_R8V40NgJnEs - transcript (automated).pdf","Transcript Link")</f>
        <v>Transcript Link</v>
      </c>
    </row>
    <row r="548" ht="180" spans="1:13">
      <c r="A548" s="1" t="s">
        <v>2540</v>
      </c>
      <c r="B548" s="1" t="s">
        <v>13</v>
      </c>
      <c r="C548" s="4" t="s">
        <v>2545</v>
      </c>
      <c r="D548" s="1" t="s">
        <v>2546</v>
      </c>
      <c r="E548" s="1" t="s">
        <v>2547</v>
      </c>
      <c r="F548" s="4" t="s">
        <v>17</v>
      </c>
      <c r="G548" s="1" t="s">
        <v>18</v>
      </c>
      <c r="H548" s="1" t="s">
        <v>19</v>
      </c>
      <c r="I548" s="1" t="s">
        <v>20</v>
      </c>
      <c r="J548" s="1" t="s">
        <v>2548</v>
      </c>
      <c r="K548" s="1" t="s">
        <v>22</v>
      </c>
      <c r="L548" s="1" t="str">
        <f>HYPERLINK("https://files.afu.se/Downloads/Transcripts/0%20-%20Government/USA%20-%20NASA%20Kennedy/2018 04 18 - NASA's Kennedy Space Center - Liftoff of TESS_wBCBThgIBmA - transcript (automated).pdf","Transcript Link")</f>
        <v>Transcript Link</v>
      </c>
      <c r="M548" s="2" t="str">
        <f>HYPERLINK("https://files.afu.se/Downloads/Transcripts/0%20-%20Government/USA%20-%20NASA%20Kennedy/2018 04 18 - NASA's Kennedy Space Center - Liftoff of TESS_wBCBThgIBmA - transcript (automated).pdf","Transcript Link")</f>
        <v>Transcript Link</v>
      </c>
    </row>
    <row r="549" ht="180" spans="1:13">
      <c r="A549" s="1" t="s">
        <v>2540</v>
      </c>
      <c r="B549" s="1" t="s">
        <v>13</v>
      </c>
      <c r="C549" s="4" t="s">
        <v>2549</v>
      </c>
      <c r="D549" s="1" t="s">
        <v>2550</v>
      </c>
      <c r="E549" s="1" t="s">
        <v>2551</v>
      </c>
      <c r="F549" s="4" t="s">
        <v>17</v>
      </c>
      <c r="G549" s="1" t="s">
        <v>18</v>
      </c>
      <c r="H549" s="1" t="s">
        <v>19</v>
      </c>
      <c r="I549" s="1" t="s">
        <v>20</v>
      </c>
      <c r="J549" s="1" t="s">
        <v>2552</v>
      </c>
      <c r="K549" s="1" t="s">
        <v>22</v>
      </c>
      <c r="L549" s="1" t="str">
        <f>HYPERLINK("https://files.afu.se/Downloads/Transcripts/0%20-%20Government/USA%20-%20NASA%20Kennedy/2018 04 18 - NASA's Kennedy Space Center - TESS Spacecraft Separates from Falcon 9 upper stage_wo-iDcad_LM - transcript (automated).pdf","Transcript Link")</f>
        <v>Transcript Link</v>
      </c>
      <c r="M549" s="2" t="str">
        <f>HYPERLINK("https://files.afu.se/Downloads/Transcripts/0%20-%20Government/USA%20-%20NASA%20Kennedy/2018 04 18 - NASA's Kennedy Space Center - TESS Spacecraft Separates from Falcon 9 upper stage_wo-iDcad_LM - transcript (automated).pdf","Transcript Link")</f>
        <v>Transcript Link</v>
      </c>
    </row>
    <row r="550" ht="180" spans="1:13">
      <c r="A550" s="1" t="s">
        <v>2540</v>
      </c>
      <c r="B550" s="1" t="s">
        <v>13</v>
      </c>
      <c r="C550" s="4" t="s">
        <v>2553</v>
      </c>
      <c r="D550" s="1" t="s">
        <v>2554</v>
      </c>
      <c r="E550" s="1" t="s">
        <v>2555</v>
      </c>
      <c r="F550" s="4" t="s">
        <v>17</v>
      </c>
      <c r="G550" s="1" t="s">
        <v>18</v>
      </c>
      <c r="H550" s="1" t="s">
        <v>19</v>
      </c>
      <c r="I550" s="1" t="s">
        <v>20</v>
      </c>
      <c r="J550" s="1" t="s">
        <v>2556</v>
      </c>
      <c r="K550" s="1" t="s">
        <v>22</v>
      </c>
      <c r="L550" s="1" t="str">
        <f>HYPERLINK("https://files.afu.se/Downloads/Transcripts/0%20-%20Government/USA%20-%20NASA%20Kennedy/2018 04 18 - NASA's Kennedy Space Center - Exploration Research and Technology Spotlight on Mike Lester_3MOtjgFfAo4 - transcript (automated).pdf","Transcript Link")</f>
        <v>Transcript Link</v>
      </c>
      <c r="M550" s="2" t="str">
        <f>HYPERLINK("https://files.afu.se/Downloads/Transcripts/0%20-%20Government/USA%20-%20NASA%20Kennedy/2018 04 18 - NASA's Kennedy Space Center - Exploration Research and Technology Spotlight on Mike Lester_3MOtjgFfAo4 - transcript (automated).pdf","Transcript Link")</f>
        <v>Transcript Link</v>
      </c>
    </row>
    <row r="551" ht="180" spans="1:13">
      <c r="A551" s="1" t="s">
        <v>2557</v>
      </c>
      <c r="B551" s="1" t="s">
        <v>13</v>
      </c>
      <c r="C551" s="4" t="s">
        <v>2558</v>
      </c>
      <c r="D551" s="1" t="s">
        <v>2559</v>
      </c>
      <c r="E551" s="1" t="s">
        <v>2560</v>
      </c>
      <c r="F551" s="4" t="s">
        <v>17</v>
      </c>
      <c r="G551" s="1" t="s">
        <v>18</v>
      </c>
      <c r="H551" s="1" t="s">
        <v>19</v>
      </c>
      <c r="I551" s="1" t="s">
        <v>20</v>
      </c>
      <c r="J551" s="1" t="s">
        <v>2561</v>
      </c>
      <c r="K551" s="1" t="s">
        <v>22</v>
      </c>
      <c r="L551" s="1" t="str">
        <f>HYPERLINK("https://files.afu.se/Downloads/Transcripts/0%20-%20Government/USA%20-%20NASA%20Kennedy/2018 04 14 - NASA's Kennedy Space Center - TESS - Countdown to T-Zero  Keep It Clean_412fAEw1NTo - transcript (automated).pdf","Transcript Link")</f>
        <v>Transcript Link</v>
      </c>
      <c r="M551" s="2" t="str">
        <f>HYPERLINK("https://files.afu.se/Downloads/Transcripts/0%20-%20Government/USA%20-%20NASA%20Kennedy/2018 04 14 - NASA's Kennedy Space Center - TESS - Countdown to T-Zero  Keep It Clean_412fAEw1NTo - transcript (automated).pdf","Transcript Link")</f>
        <v>Transcript Link</v>
      </c>
    </row>
    <row r="552" ht="180" spans="1:13">
      <c r="A552" s="1" t="s">
        <v>2562</v>
      </c>
      <c r="B552" s="1" t="s">
        <v>13</v>
      </c>
      <c r="C552" s="4" t="s">
        <v>2563</v>
      </c>
      <c r="D552" s="1" t="s">
        <v>2564</v>
      </c>
      <c r="E552" s="1" t="s">
        <v>2565</v>
      </c>
      <c r="F552" s="4" t="s">
        <v>17</v>
      </c>
      <c r="G552" s="1" t="s">
        <v>18</v>
      </c>
      <c r="H552" s="1" t="s">
        <v>19</v>
      </c>
      <c r="I552" s="1" t="s">
        <v>20</v>
      </c>
      <c r="J552" s="1" t="s">
        <v>2566</v>
      </c>
      <c r="K552" s="1" t="s">
        <v>22</v>
      </c>
      <c r="L552" s="1" t="str">
        <f>HYPERLINK("https://files.afu.se/Downloads/Transcripts/0%20-%20Government/USA%20-%20NASA%20Kennedy/2018 04 13 - NASA's Kennedy Space Center - Inside KSC! for April 13, 2018_Rb4hNayHd9M - transcript (automated).pdf","Transcript Link")</f>
        <v>Transcript Link</v>
      </c>
      <c r="M552" s="2" t="str">
        <f>HYPERLINK("https://files.afu.se/Downloads/Transcripts/0%20-%20Government/USA%20-%20NASA%20Kennedy/2018 04 13 - NASA's Kennedy Space Center - Inside KSC! for April 13, 2018_Rb4hNayHd9M - transcript (automated).pdf","Transcript Link")</f>
        <v>Transcript Link</v>
      </c>
    </row>
    <row r="553" ht="409.5" spans="1:13">
      <c r="A553" s="1" t="s">
        <v>2567</v>
      </c>
      <c r="B553" s="1" t="s">
        <v>13</v>
      </c>
      <c r="C553" s="4" t="s">
        <v>2568</v>
      </c>
      <c r="D553" s="1" t="s">
        <v>2569</v>
      </c>
      <c r="E553" s="1" t="s">
        <v>2570</v>
      </c>
      <c r="F553" s="4" t="s">
        <v>17</v>
      </c>
      <c r="G553" s="1" t="s">
        <v>18</v>
      </c>
      <c r="H553" s="1" t="s">
        <v>19</v>
      </c>
      <c r="I553" s="1" t="s">
        <v>20</v>
      </c>
      <c r="J553" s="1" t="s">
        <v>2571</v>
      </c>
      <c r="K553" s="1" t="s">
        <v>22</v>
      </c>
      <c r="L553" s="1" t="str">
        <f>HYPERLINK("https://files.afu.se/Downloads/Transcripts/0%20-%20Government/USA%20-%20NASA%20Kennedy/2018 04 11 - NASA's Kennedy Space Center - Venture Class Launch Services  Small Rockets Carry Big Dreams_2eZyUuYvBUo - transcript (automated).pdf","Transcript Link")</f>
        <v>Transcript Link</v>
      </c>
      <c r="M553" s="2" t="str">
        <f>HYPERLINK("https://files.afu.se/Downloads/Transcripts/0%20-%20Government/USA%20-%20NASA%20Kennedy/2018 04 11 - NASA's Kennedy Space Center - Venture Class Launch Services  Small Rockets Carry Big Dreams_2eZyUuYvBUo - transcript (automated).pdf","Transcript Link")</f>
        <v>Transcript Link</v>
      </c>
    </row>
    <row r="554" ht="180" spans="1:13">
      <c r="A554" s="1" t="s">
        <v>2572</v>
      </c>
      <c r="B554" s="1" t="s">
        <v>13</v>
      </c>
      <c r="C554" s="4" t="s">
        <v>2573</v>
      </c>
      <c r="D554" s="1" t="s">
        <v>2574</v>
      </c>
      <c r="E554" s="1" t="s">
        <v>2575</v>
      </c>
      <c r="F554" s="4" t="s">
        <v>17</v>
      </c>
      <c r="G554" s="1" t="s">
        <v>18</v>
      </c>
      <c r="H554" s="1" t="s">
        <v>19</v>
      </c>
      <c r="I554" s="1" t="s">
        <v>20</v>
      </c>
      <c r="J554" s="1" t="s">
        <v>2576</v>
      </c>
      <c r="K554" s="1" t="s">
        <v>22</v>
      </c>
      <c r="L554" s="1" t="str">
        <f>HYPERLINK("https://files.afu.se/Downloads/Transcripts/0%20-%20Government/USA%20-%20NASA%20Kennedy/2018 04 06 - NASA's Kennedy Space Center - Inside KSC! for April 6, 2018_AHJA54Vq4zg - transcript (automated).pdf","Transcript Link")</f>
        <v>Transcript Link</v>
      </c>
      <c r="M554" s="2" t="str">
        <f>HYPERLINK("https://files.afu.se/Downloads/Transcripts/0%20-%20Government/USA%20-%20NASA%20Kennedy/2018 04 06 - NASA's Kennedy Space Center - Inside KSC! for April 6, 2018_AHJA54Vq4zg - transcript (automated).pdf","Transcript Link")</f>
        <v>Transcript Link</v>
      </c>
    </row>
    <row r="555" ht="180" spans="1:13">
      <c r="A555" s="1" t="s">
        <v>2577</v>
      </c>
      <c r="B555" s="1" t="s">
        <v>13</v>
      </c>
      <c r="C555" s="4" t="s">
        <v>2578</v>
      </c>
      <c r="D555" s="1" t="s">
        <v>2579</v>
      </c>
      <c r="E555" s="1" t="s">
        <v>2580</v>
      </c>
      <c r="F555" s="4" t="s">
        <v>17</v>
      </c>
      <c r="G555" s="1" t="s">
        <v>18</v>
      </c>
      <c r="H555" s="1" t="s">
        <v>19</v>
      </c>
      <c r="I555" s="1" t="s">
        <v>20</v>
      </c>
      <c r="J555" s="1" t="s">
        <v>2581</v>
      </c>
      <c r="K555" s="1" t="s">
        <v>22</v>
      </c>
      <c r="L555" s="1" t="str">
        <f>HYPERLINK("https://files.afu.se/Downloads/Transcripts/0%20-%20Government/USA%20-%20NASA%20Kennedy/2018 04 02 - NASA's Kennedy Space Center - SpaceX CRS-14  Solar Arrays Deploy_-jcufWFosXM - transcript (automated).pdf","Transcript Link")</f>
        <v>Transcript Link</v>
      </c>
      <c r="M555" s="2" t="str">
        <f>HYPERLINK("https://files.afu.se/Downloads/Transcripts/0%20-%20Government/USA%20-%20NASA%20Kennedy/2018 04 02 - NASA's Kennedy Space Center - SpaceX CRS-14  Solar Arrays Deploy_-jcufWFosXM - transcript (automated).pdf","Transcript Link")</f>
        <v>Transcript Link</v>
      </c>
    </row>
    <row r="556" ht="180" spans="1:13">
      <c r="A556" s="1" t="s">
        <v>2577</v>
      </c>
      <c r="B556" s="1" t="s">
        <v>13</v>
      </c>
      <c r="C556" s="4" t="s">
        <v>2582</v>
      </c>
      <c r="D556" s="1" t="s">
        <v>2583</v>
      </c>
      <c r="E556" s="1" t="s">
        <v>2584</v>
      </c>
      <c r="F556" s="4" t="s">
        <v>17</v>
      </c>
      <c r="G556" s="1" t="s">
        <v>18</v>
      </c>
      <c r="H556" s="1" t="s">
        <v>19</v>
      </c>
      <c r="I556" s="1" t="s">
        <v>20</v>
      </c>
      <c r="J556" s="1" t="s">
        <v>2585</v>
      </c>
      <c r="K556" s="1" t="s">
        <v>22</v>
      </c>
      <c r="L556" s="1" t="str">
        <f>HYPERLINK("https://files.afu.se/Downloads/Transcripts/0%20-%20Government/USA%20-%20NASA%20Kennedy/2018 04 02 - NASA's Kennedy Space Center - SpaceX CRS-14  Spacecraft Separation_RKJ806z423g - transcript (automated).pdf","Transcript Link")</f>
        <v>Transcript Link</v>
      </c>
      <c r="M556" s="2" t="str">
        <f>HYPERLINK("https://files.afu.se/Downloads/Transcripts/0%20-%20Government/USA%20-%20NASA%20Kennedy/2018 04 02 - NASA's Kennedy Space Center - SpaceX CRS-14  Spacecraft Separation_RKJ806z423g - transcript (automated).pdf","Transcript Link")</f>
        <v>Transcript Link</v>
      </c>
    </row>
    <row r="557" ht="180" spans="1:13">
      <c r="A557" s="1" t="s">
        <v>2577</v>
      </c>
      <c r="B557" s="1" t="s">
        <v>13</v>
      </c>
      <c r="C557" s="4" t="s">
        <v>2586</v>
      </c>
      <c r="D557" s="1" t="s">
        <v>2587</v>
      </c>
      <c r="E557" s="1" t="s">
        <v>2588</v>
      </c>
      <c r="F557" s="4" t="s">
        <v>17</v>
      </c>
      <c r="G557" s="1" t="s">
        <v>18</v>
      </c>
      <c r="H557" s="1" t="s">
        <v>19</v>
      </c>
      <c r="I557" s="1" t="s">
        <v>20</v>
      </c>
      <c r="J557" s="1" t="s">
        <v>2589</v>
      </c>
      <c r="K557" s="1" t="s">
        <v>22</v>
      </c>
      <c r="L557" s="1" t="str">
        <f>HYPERLINK("https://files.afu.se/Downloads/Transcripts/0%20-%20Government/USA%20-%20NASA%20Kennedy/2018 04 02 - NASA's Kennedy Space Center - SpaceX CRS-14  Broadcast Open_Zw_mrx016cc - transcript (automated).pdf","Transcript Link")</f>
        <v>Transcript Link</v>
      </c>
      <c r="M557" s="2" t="str">
        <f>HYPERLINK("https://files.afu.se/Downloads/Transcripts/0%20-%20Government/USA%20-%20NASA%20Kennedy/2018 04 02 - NASA's Kennedy Space Center - SpaceX CRS-14  Broadcast Open_Zw_mrx016cc - transcript (automated).pdf","Transcript Link")</f>
        <v>Transcript Link</v>
      </c>
    </row>
    <row r="558" ht="180" spans="1:13">
      <c r="A558" s="1" t="s">
        <v>2577</v>
      </c>
      <c r="B558" s="1" t="s">
        <v>13</v>
      </c>
      <c r="C558" s="4" t="s">
        <v>2590</v>
      </c>
      <c r="D558" s="1" t="s">
        <v>2591</v>
      </c>
      <c r="E558" s="1" t="s">
        <v>2592</v>
      </c>
      <c r="F558" s="4" t="s">
        <v>17</v>
      </c>
      <c r="G558" s="1" t="s">
        <v>18</v>
      </c>
      <c r="H558" s="1" t="s">
        <v>19</v>
      </c>
      <c r="I558" s="1" t="s">
        <v>20</v>
      </c>
      <c r="J558" s="1" t="s">
        <v>2593</v>
      </c>
      <c r="K558" s="1" t="s">
        <v>22</v>
      </c>
      <c r="L558" s="1" t="str">
        <f>HYPERLINK("https://files.afu.se/Downloads/Transcripts/0%20-%20Government/USA%20-%20NASA%20Kennedy/2018 04 02 - NASA's Kennedy Space Center - SpaceX CRS-14 Launch_WJEBW7QFgwc - transcript (automated).pdf","Transcript Link")</f>
        <v>Transcript Link</v>
      </c>
      <c r="M558" s="2" t="str">
        <f>HYPERLINK("https://files.afu.se/Downloads/Transcripts/0%20-%20Government/USA%20-%20NASA%20Kennedy/2018 04 02 - NASA's Kennedy Space Center - SpaceX CRS-14 Launch_WJEBW7QFgwc - transcript (automated).pdf","Transcript Link")</f>
        <v>Transcript Link</v>
      </c>
    </row>
    <row r="559" ht="180" spans="1:13">
      <c r="A559" s="1" t="s">
        <v>2594</v>
      </c>
      <c r="B559" s="1" t="s">
        <v>13</v>
      </c>
      <c r="C559" s="4" t="s">
        <v>2595</v>
      </c>
      <c r="D559" s="1" t="s">
        <v>2596</v>
      </c>
      <c r="E559" s="1" t="s">
        <v>2597</v>
      </c>
      <c r="F559" s="4" t="s">
        <v>17</v>
      </c>
      <c r="G559" s="1" t="s">
        <v>18</v>
      </c>
      <c r="H559" s="1" t="s">
        <v>19</v>
      </c>
      <c r="I559" s="1" t="s">
        <v>20</v>
      </c>
      <c r="J559" s="1" t="s">
        <v>2598</v>
      </c>
      <c r="K559" s="1" t="s">
        <v>22</v>
      </c>
      <c r="L559" s="1" t="str">
        <f>HYPERLINK("https://files.afu.se/Downloads/Transcripts/0%20-%20Government/USA%20-%20NASA%20Kennedy/2018 03 30 - NASA's Kennedy Space Center - Inside KSC! for March 30, 2018_y4jY8rI_vm4 - transcript (automated).pdf","Transcript Link")</f>
        <v>Transcript Link</v>
      </c>
      <c r="M559" s="2" t="str">
        <f>HYPERLINK("https://files.afu.se/Downloads/Transcripts/0%20-%20Government/USA%20-%20NASA%20Kennedy/2018 03 30 - NASA's Kennedy Space Center - Inside KSC! for March 30, 2018_y4jY8rI_vm4 - transcript (automated).pdf","Transcript Link")</f>
        <v>Transcript Link</v>
      </c>
    </row>
    <row r="560" ht="180" spans="1:13">
      <c r="A560" s="1" t="s">
        <v>2599</v>
      </c>
      <c r="B560" s="1" t="s">
        <v>13</v>
      </c>
      <c r="C560" s="4" t="s">
        <v>2600</v>
      </c>
      <c r="D560" s="1" t="s">
        <v>2601</v>
      </c>
      <c r="E560" s="1" t="s">
        <v>2602</v>
      </c>
      <c r="F560" s="4" t="s">
        <v>17</v>
      </c>
      <c r="G560" s="1" t="s">
        <v>18</v>
      </c>
      <c r="H560" s="1" t="s">
        <v>19</v>
      </c>
      <c r="I560" s="1" t="s">
        <v>20</v>
      </c>
      <c r="J560" s="1" t="s">
        <v>2603</v>
      </c>
      <c r="K560" s="1" t="s">
        <v>22</v>
      </c>
      <c r="L560" s="1" t="str">
        <f>HYPERLINK("https://files.afu.se/Downloads/Transcripts/0%20-%20Government/USA%20-%20NASA%20Kennedy/2018 03 23 - NASA's Kennedy Space Center - Inside KSC! for March 23, 2018_JRQSVXq-F44 - transcript (automated).pdf","Transcript Link")</f>
        <v>Transcript Link</v>
      </c>
      <c r="M560" s="2" t="str">
        <f>HYPERLINK("https://files.afu.se/Downloads/Transcripts/0%20-%20Government/USA%20-%20NASA%20Kennedy/2018 03 23 - NASA's Kennedy Space Center - Inside KSC! for March 23, 2018_JRQSVXq-F44 - transcript (automated).pdf","Transcript Link")</f>
        <v>Transcript Link</v>
      </c>
    </row>
    <row r="561" ht="180" spans="1:13">
      <c r="A561" s="1" t="s">
        <v>2604</v>
      </c>
      <c r="B561" s="1" t="s">
        <v>13</v>
      </c>
      <c r="C561" s="4" t="s">
        <v>2605</v>
      </c>
      <c r="D561" s="1" t="s">
        <v>2606</v>
      </c>
      <c r="E561" s="1" t="s">
        <v>2607</v>
      </c>
      <c r="F561" s="4" t="s">
        <v>17</v>
      </c>
      <c r="G561" s="1" t="s">
        <v>18</v>
      </c>
      <c r="H561" s="1" t="s">
        <v>19</v>
      </c>
      <c r="I561" s="1" t="s">
        <v>20</v>
      </c>
      <c r="J561" s="1" t="s">
        <v>2608</v>
      </c>
      <c r="K561" s="1" t="s">
        <v>22</v>
      </c>
      <c r="L561" s="1" t="str">
        <f>HYPERLINK("https://files.afu.se/Downloads/Transcripts/0%20-%20Government/USA%20-%20NASA%20Kennedy/2018 03 22 - NASA's Kennedy Space Center - GOES-S Atlas V Launch in 360_FfLIVGxNhxY - transcript (automated).pdf","Transcript Link")</f>
        <v>Transcript Link</v>
      </c>
      <c r="M561" s="2" t="str">
        <f>HYPERLINK("https://files.afu.se/Downloads/Transcripts/0%20-%20Government/USA%20-%20NASA%20Kennedy/2018 03 22 - NASA's Kennedy Space Center - GOES-S Atlas V Launch in 360_FfLIVGxNhxY - transcript (automated).pdf","Transcript Link")</f>
        <v>Transcript Link</v>
      </c>
    </row>
    <row r="562" ht="180" spans="1:13">
      <c r="A562" s="1" t="s">
        <v>2609</v>
      </c>
      <c r="B562" s="1" t="s">
        <v>13</v>
      </c>
      <c r="C562" s="4" t="s">
        <v>2610</v>
      </c>
      <c r="D562" s="1" t="s">
        <v>2611</v>
      </c>
      <c r="E562" s="1" t="s">
        <v>2612</v>
      </c>
      <c r="F562" s="4" t="s">
        <v>17</v>
      </c>
      <c r="G562" s="1" t="s">
        <v>18</v>
      </c>
      <c r="H562" s="1" t="s">
        <v>19</v>
      </c>
      <c r="I562" s="1" t="s">
        <v>20</v>
      </c>
      <c r="J562" s="1" t="s">
        <v>2613</v>
      </c>
      <c r="K562" s="1" t="s">
        <v>22</v>
      </c>
      <c r="L562" s="1" t="str">
        <f>HYPERLINK("https://files.afu.se/Downloads/Transcripts/0%20-%20Government/USA%20-%20NASA%20Kennedy/2018 03 16 - NASA's Kennedy Space Center - Inside KSC! for March 16, 2018_od1IyeqcODw - transcript (automated).pdf","Transcript Link")</f>
        <v>Transcript Link</v>
      </c>
      <c r="M562" s="2" t="str">
        <f>HYPERLINK("https://files.afu.se/Downloads/Transcripts/0%20-%20Government/USA%20-%20NASA%20Kennedy/2018 03 16 - NASA's Kennedy Space Center - Inside KSC! for March 16, 2018_od1IyeqcODw - transcript (automated).pdf","Transcript Link")</f>
        <v>Transcript Link</v>
      </c>
    </row>
    <row r="563" ht="180" spans="1:13">
      <c r="A563" s="1" t="s">
        <v>2614</v>
      </c>
      <c r="B563" s="1" t="s">
        <v>13</v>
      </c>
      <c r="C563" s="4" t="s">
        <v>2615</v>
      </c>
      <c r="D563" s="1" t="s">
        <v>2616</v>
      </c>
      <c r="E563" s="1" t="s">
        <v>2617</v>
      </c>
      <c r="F563" s="4" t="s">
        <v>17</v>
      </c>
      <c r="G563" s="1" t="s">
        <v>18</v>
      </c>
      <c r="H563" s="1" t="s">
        <v>19</v>
      </c>
      <c r="I563" s="1" t="s">
        <v>20</v>
      </c>
      <c r="J563" s="1" t="s">
        <v>2618</v>
      </c>
      <c r="K563" s="1" t="s">
        <v>22</v>
      </c>
      <c r="L563" s="1" t="str">
        <f>HYPERLINK("https://files.afu.se/Downloads/Transcripts/0%20-%20Government/USA%20-%20NASA%20Kennedy/2018 03 15 - NASA's Kennedy Space Center - NASA's Crawler-Transporters Video Infographic_iyudA4h1fo4 - transcript (automated).pdf","Transcript Link")</f>
        <v>Transcript Link</v>
      </c>
      <c r="M563" s="2" t="str">
        <f>HYPERLINK("https://files.afu.se/Downloads/Transcripts/0%20-%20Government/USA%20-%20NASA%20Kennedy/2018 03 15 - NASA's Kennedy Space Center - NASA's Crawler-Transporters Video Infographic_iyudA4h1fo4 - transcript (automated).pdf","Transcript Link")</f>
        <v>Transcript Link</v>
      </c>
    </row>
    <row r="564" ht="180" spans="1:13">
      <c r="A564" s="1" t="s">
        <v>2619</v>
      </c>
      <c r="B564" s="1" t="s">
        <v>13</v>
      </c>
      <c r="C564" s="4" t="s">
        <v>2620</v>
      </c>
      <c r="D564" s="1" t="s">
        <v>2621</v>
      </c>
      <c r="E564" s="1" t="s">
        <v>2622</v>
      </c>
      <c r="F564" s="4" t="s">
        <v>17</v>
      </c>
      <c r="G564" s="1" t="s">
        <v>18</v>
      </c>
      <c r="H564" s="1" t="s">
        <v>19</v>
      </c>
      <c r="I564" s="1" t="s">
        <v>20</v>
      </c>
      <c r="J564" s="1" t="s">
        <v>2623</v>
      </c>
      <c r="K564" s="1" t="s">
        <v>22</v>
      </c>
      <c r="L564" s="1" t="str">
        <f>HYPERLINK("https://files.afu.se/Downloads/Transcripts/0%20-%20Government/USA%20-%20NASA%20Kennedy/2018 03 09 - NASA's Kennedy Space Center - GOES-S Countdown to T-Zero, Episode 5  T-0_Ne9gQVTU8bk - transcript (automated).pdf","Transcript Link")</f>
        <v>Transcript Link</v>
      </c>
      <c r="M564" s="2" t="str">
        <f>HYPERLINK("https://files.afu.se/Downloads/Transcripts/0%20-%20Government/USA%20-%20NASA%20Kennedy/2018 03 09 - NASA's Kennedy Space Center - GOES-S Countdown to T-Zero, Episode 5  T-0_Ne9gQVTU8bk - transcript (automated).pdf","Transcript Link")</f>
        <v>Transcript Link</v>
      </c>
    </row>
    <row r="565" ht="180" spans="1:13">
      <c r="A565" s="1" t="s">
        <v>2619</v>
      </c>
      <c r="B565" s="1" t="s">
        <v>13</v>
      </c>
      <c r="C565" s="4" t="s">
        <v>2624</v>
      </c>
      <c r="D565" s="1" t="s">
        <v>2625</v>
      </c>
      <c r="E565" s="1" t="s">
        <v>2626</v>
      </c>
      <c r="F565" s="4" t="s">
        <v>17</v>
      </c>
      <c r="G565" s="1" t="s">
        <v>18</v>
      </c>
      <c r="H565" s="1" t="s">
        <v>19</v>
      </c>
      <c r="I565" s="1" t="s">
        <v>20</v>
      </c>
      <c r="J565" s="1" t="s">
        <v>2627</v>
      </c>
      <c r="K565" s="1" t="s">
        <v>22</v>
      </c>
      <c r="L565" s="1" t="str">
        <f>HYPERLINK("https://files.afu.se/Downloads/Transcripts/0%20-%20Government/USA%20-%20NASA%20Kennedy/2018 03 09 - NASA's Kennedy Space Center - Inside KSC! for March 9, 2018_Mz93Mr2pggc - transcript (automated).pdf","Transcript Link")</f>
        <v>Transcript Link</v>
      </c>
      <c r="M565" s="2" t="str">
        <f>HYPERLINK("https://files.afu.se/Downloads/Transcripts/0%20-%20Government/USA%20-%20NASA%20Kennedy/2018 03 09 - NASA's Kennedy Space Center - Inside KSC! for March 9, 2018_Mz93Mr2pggc - transcript (automated).pdf","Transcript Link")</f>
        <v>Transcript Link</v>
      </c>
    </row>
    <row r="566" ht="180" spans="1:13">
      <c r="A566" s="1" t="s">
        <v>2628</v>
      </c>
      <c r="B566" s="1" t="s">
        <v>13</v>
      </c>
      <c r="C566" s="4" t="s">
        <v>2629</v>
      </c>
      <c r="D566" s="1" t="s">
        <v>2630</v>
      </c>
      <c r="E566" s="1" t="s">
        <v>2631</v>
      </c>
      <c r="F566" s="4" t="s">
        <v>17</v>
      </c>
      <c r="G566" s="1" t="s">
        <v>18</v>
      </c>
      <c r="H566" s="1" t="s">
        <v>19</v>
      </c>
      <c r="I566" s="1" t="s">
        <v>20</v>
      </c>
      <c r="J566" s="1" t="s">
        <v>2632</v>
      </c>
      <c r="K566" s="1" t="s">
        <v>22</v>
      </c>
      <c r="L566" s="1" t="str">
        <f>HYPERLINK("https://files.afu.se/Downloads/Transcripts/0%20-%20Government/USA%20-%20NASA%20Kennedy/2018 03 02 - NASA's Kennedy Space Center - Inside KSC! for March 2, 2018_nxClG4fRgeg - transcript (automated).pdf","Transcript Link")</f>
        <v>Transcript Link</v>
      </c>
      <c r="M566" s="2" t="str">
        <f>HYPERLINK("https://files.afu.se/Downloads/Transcripts/0%20-%20Government/USA%20-%20NASA%20Kennedy/2018 03 02 - NASA's Kennedy Space Center - Inside KSC! for March 2, 2018_nxClG4fRgeg - transcript (automated).pdf","Transcript Link")</f>
        <v>Transcript Link</v>
      </c>
    </row>
    <row r="567" ht="180" spans="1:13">
      <c r="A567" s="1" t="s">
        <v>2628</v>
      </c>
      <c r="B567" s="1" t="s">
        <v>13</v>
      </c>
      <c r="C567" s="4" t="s">
        <v>2633</v>
      </c>
      <c r="D567" s="1" t="s">
        <v>2218</v>
      </c>
      <c r="E567" s="1" t="s">
        <v>2634</v>
      </c>
      <c r="F567" s="4" t="s">
        <v>17</v>
      </c>
      <c r="G567" s="1" t="s">
        <v>18</v>
      </c>
      <c r="H567" s="1" t="s">
        <v>19</v>
      </c>
      <c r="I567" s="1" t="s">
        <v>20</v>
      </c>
      <c r="J567" s="1" t="s">
        <v>2635</v>
      </c>
      <c r="K567" s="1" t="s">
        <v>22</v>
      </c>
      <c r="L567" s="1" t="str">
        <f>HYPERLINK("https://files.afu.se/Downloads/Transcripts/0%20-%20Government/USA%20-%20NASA%20Kennedy/2018 03 02 - NASA's Kennedy Space Center - Interview with NASA Launch Director_8NurvN8IhiA - transcript (automated).pdf","Transcript Link")</f>
        <v>Transcript Link</v>
      </c>
      <c r="M567" s="2" t="str">
        <f>HYPERLINK("https://files.afu.se/Downloads/Transcripts/0%20-%20Government/USA%20-%20NASA%20Kennedy/2018 03 02 - NASA's Kennedy Space Center - Interview with NASA Launch Director_8NurvN8IhiA - transcript (automated).pdf","Transcript Link")</f>
        <v>Transcript Link</v>
      </c>
    </row>
    <row r="568" ht="180" spans="1:13">
      <c r="A568" s="1" t="s">
        <v>2628</v>
      </c>
      <c r="B568" s="1" t="s">
        <v>13</v>
      </c>
      <c r="C568" s="4" t="s">
        <v>2636</v>
      </c>
      <c r="D568" s="1" t="s">
        <v>2637</v>
      </c>
      <c r="E568" s="1" t="s">
        <v>2638</v>
      </c>
      <c r="F568" s="4" t="s">
        <v>17</v>
      </c>
      <c r="G568" s="1" t="s">
        <v>18</v>
      </c>
      <c r="H568" s="1" t="s">
        <v>19</v>
      </c>
      <c r="I568" s="1" t="s">
        <v>20</v>
      </c>
      <c r="J568" s="1" t="s">
        <v>2639</v>
      </c>
      <c r="K568" s="1" t="s">
        <v>22</v>
      </c>
      <c r="L568" s="1" t="str">
        <f>HYPERLINK("https://files.afu.se/Downloads/Transcripts/0%20-%20Government/USA%20-%20NASA%20Kennedy/2018 03 02 - NASA's Kennedy Space Center - GOES-S Countdown to T-Zero, Episode 4  Ready to Roll_EbTJ1JZAAXM - transcript (automated).pdf","Transcript Link")</f>
        <v>Transcript Link</v>
      </c>
      <c r="M568" s="2" t="str">
        <f>HYPERLINK("https://files.afu.se/Downloads/Transcripts/0%20-%20Government/USA%20-%20NASA%20Kennedy/2018 03 02 - NASA's Kennedy Space Center - GOES-S Countdown to T-Zero, Episode 4  Ready to Roll_EbTJ1JZAAXM - transcript (automated).pdf","Transcript Link")</f>
        <v>Transcript Link</v>
      </c>
    </row>
    <row r="569" ht="180" spans="1:13">
      <c r="A569" s="1" t="s">
        <v>2640</v>
      </c>
      <c r="B569" s="1" t="s">
        <v>13</v>
      </c>
      <c r="C569" s="4" t="s">
        <v>2641</v>
      </c>
      <c r="D569" s="1" t="s">
        <v>2642</v>
      </c>
      <c r="F569" s="4" t="s">
        <v>17</v>
      </c>
      <c r="G569" s="1" t="s">
        <v>18</v>
      </c>
      <c r="H569" s="1" t="s">
        <v>19</v>
      </c>
      <c r="I569" s="1" t="s">
        <v>20</v>
      </c>
      <c r="J569" s="1" t="s">
        <v>2643</v>
      </c>
      <c r="K569" s="1" t="s">
        <v>22</v>
      </c>
      <c r="L569" s="1" t="str">
        <f>HYPERLINK("https://files.afu.se/Downloads/Transcripts/0%20-%20Government/USA%20-%20NASA%20Kennedy/2018 03 01 - NASA's Kennedy Space Center - Liftoff of GOES-S_4kasNrV773M - transcript (automated).pdf","Transcript Link")</f>
        <v>Transcript Link</v>
      </c>
      <c r="M569" s="2" t="str">
        <f>HYPERLINK("https://files.afu.se/Downloads/Transcripts/0%20-%20Government/USA%20-%20NASA%20Kennedy/2018 03 01 - NASA's Kennedy Space Center - Liftoff of GOES-S_4kasNrV773M - transcript (automated).pdf","Transcript Link")</f>
        <v>Transcript Link</v>
      </c>
    </row>
    <row r="570" ht="180" spans="1:13">
      <c r="A570" s="1" t="s">
        <v>2640</v>
      </c>
      <c r="B570" s="1" t="s">
        <v>13</v>
      </c>
      <c r="C570" s="4" t="s">
        <v>2644</v>
      </c>
      <c r="D570" s="1" t="s">
        <v>2645</v>
      </c>
      <c r="E570" s="1" t="s">
        <v>2646</v>
      </c>
      <c r="F570" s="4" t="s">
        <v>17</v>
      </c>
      <c r="G570" s="1" t="s">
        <v>18</v>
      </c>
      <c r="H570" s="1" t="s">
        <v>19</v>
      </c>
      <c r="I570" s="1" t="s">
        <v>20</v>
      </c>
      <c r="J570" s="1" t="s">
        <v>2647</v>
      </c>
      <c r="K570" s="1" t="s">
        <v>22</v>
      </c>
      <c r="L570" s="1" t="str">
        <f>HYPERLINK("https://files.afu.se/Downloads/Transcripts/0%20-%20Government/USA%20-%20NASA%20Kennedy/2018 03 01 - NASA's Kennedy Space Center - GOES-S, Atlas V are  Go  for Launch_nAXkdFcea_g - transcript (automated).pdf","Transcript Link")</f>
        <v>Transcript Link</v>
      </c>
      <c r="M570" s="2" t="str">
        <f>HYPERLINK("https://files.afu.se/Downloads/Transcripts/0%20-%20Government/USA%20-%20NASA%20Kennedy/2018 03 01 - NASA's Kennedy Space Center - GOES-S, Atlas V are  Go  for Launch_nAXkdFcea_g - transcript (automated).pdf","Transcript Link")</f>
        <v>Transcript Link</v>
      </c>
    </row>
    <row r="571" ht="180" spans="1:13">
      <c r="A571" s="1" t="s">
        <v>2640</v>
      </c>
      <c r="B571" s="1" t="s">
        <v>13</v>
      </c>
      <c r="C571" s="4" t="s">
        <v>2648</v>
      </c>
      <c r="D571" s="1" t="s">
        <v>2649</v>
      </c>
      <c r="E571" s="1" t="s">
        <v>2650</v>
      </c>
      <c r="F571" s="4" t="s">
        <v>17</v>
      </c>
      <c r="G571" s="1" t="s">
        <v>18</v>
      </c>
      <c r="H571" s="1" t="s">
        <v>19</v>
      </c>
      <c r="I571" s="1" t="s">
        <v>20</v>
      </c>
      <c r="J571" s="1" t="s">
        <v>2651</v>
      </c>
      <c r="K571" s="1" t="s">
        <v>22</v>
      </c>
      <c r="L571" s="1" t="str">
        <f>HYPERLINK("https://files.afu.se/Downloads/Transcripts/0%20-%20Government/USA%20-%20NASA%20Kennedy/2018 03 01 - NASA's Kennedy Space Center - NASA's GOES-S Ready for Launch Atop Atlas V_iduNpPolL_A - transcript (automated).pdf","Transcript Link")</f>
        <v>Transcript Link</v>
      </c>
      <c r="M571" s="2" t="str">
        <f>HYPERLINK("https://files.afu.se/Downloads/Transcripts/0%20-%20Government/USA%20-%20NASA%20Kennedy/2018 03 01 - NASA's Kennedy Space Center - NASA's GOES-S Ready for Launch Atop Atlas V_iduNpPolL_A - transcript (automated).pdf","Transcript Link")</f>
        <v>Transcript Link</v>
      </c>
    </row>
    <row r="572" ht="180" spans="1:13">
      <c r="A572" s="1" t="s">
        <v>2652</v>
      </c>
      <c r="B572" s="1" t="s">
        <v>13</v>
      </c>
      <c r="C572" s="4" t="s">
        <v>2653</v>
      </c>
      <c r="D572" s="1" t="s">
        <v>2654</v>
      </c>
      <c r="E572" s="1" t="s">
        <v>2655</v>
      </c>
      <c r="F572" s="4" t="s">
        <v>17</v>
      </c>
      <c r="G572" s="1" t="s">
        <v>18</v>
      </c>
      <c r="H572" s="1" t="s">
        <v>19</v>
      </c>
      <c r="I572" s="1" t="s">
        <v>20</v>
      </c>
      <c r="J572" s="1" t="s">
        <v>2656</v>
      </c>
      <c r="K572" s="1" t="s">
        <v>22</v>
      </c>
      <c r="L572" s="1" t="str">
        <f>HYPERLINK("https://files.afu.se/Downloads/Transcripts/0%20-%20Government/USA%20-%20NASA%20Kennedy/2018 02 27 - NASA's Kennedy Space Center - GOES-S Countdown to T-Zero, Episode 3  Rocket Science_gWC9WTQ2Blc - transcript (automated).pdf","Transcript Link")</f>
        <v>Transcript Link</v>
      </c>
      <c r="M572" s="2" t="str">
        <f>HYPERLINK("https://files.afu.se/Downloads/Transcripts/0%20-%20Government/USA%20-%20NASA%20Kennedy/2018 02 27 - NASA's Kennedy Space Center - GOES-S Countdown to T-Zero, Episode 3  Rocket Science_gWC9WTQ2Blc - transcript (automated).pdf","Transcript Link")</f>
        <v>Transcript Link</v>
      </c>
    </row>
    <row r="573" ht="180" spans="1:13">
      <c r="A573" s="1" t="s">
        <v>2652</v>
      </c>
      <c r="B573" s="1" t="s">
        <v>13</v>
      </c>
      <c r="C573" s="4" t="s">
        <v>2657</v>
      </c>
      <c r="D573" s="1" t="s">
        <v>2658</v>
      </c>
      <c r="E573" s="1" t="s">
        <v>2659</v>
      </c>
      <c r="F573" s="4" t="s">
        <v>17</v>
      </c>
      <c r="G573" s="1" t="s">
        <v>18</v>
      </c>
      <c r="H573" s="1" t="s">
        <v>19</v>
      </c>
      <c r="I573" s="1" t="s">
        <v>20</v>
      </c>
      <c r="J573" s="1" t="s">
        <v>2660</v>
      </c>
      <c r="K573" s="1" t="s">
        <v>22</v>
      </c>
      <c r="L573" s="1" t="str">
        <f>HYPERLINK("https://files.afu.se/Downloads/Transcripts/0%20-%20Government/USA%20-%20NASA%20Kennedy/2018 02 27 - NASA's Kennedy Space Center - NASA's Mobile Launcher from a Bird's Eye View_rXiVsNICHQM - transcript (automated).pdf","Transcript Link")</f>
        <v>Transcript Link</v>
      </c>
      <c r="M573" s="2" t="str">
        <f>HYPERLINK("https://files.afu.se/Downloads/Transcripts/0%20-%20Government/USA%20-%20NASA%20Kennedy/2018 02 27 - NASA's Kennedy Space Center - NASA's Mobile Launcher from a Bird's Eye View_rXiVsNICHQM - transcript (automated).pdf","Transcript Link")</f>
        <v>Transcript Link</v>
      </c>
    </row>
    <row r="574" ht="180" spans="1:13">
      <c r="A574" s="1" t="s">
        <v>2661</v>
      </c>
      <c r="B574" s="1" t="s">
        <v>13</v>
      </c>
      <c r="C574" s="4" t="s">
        <v>2662</v>
      </c>
      <c r="D574" s="1" t="s">
        <v>2663</v>
      </c>
      <c r="E574" s="1" t="s">
        <v>2664</v>
      </c>
      <c r="F574" s="4" t="s">
        <v>17</v>
      </c>
      <c r="G574" s="1" t="s">
        <v>18</v>
      </c>
      <c r="H574" s="1" t="s">
        <v>19</v>
      </c>
      <c r="I574" s="1" t="s">
        <v>20</v>
      </c>
      <c r="J574" s="1" t="s">
        <v>2665</v>
      </c>
      <c r="K574" s="1" t="s">
        <v>22</v>
      </c>
      <c r="L574" s="1" t="str">
        <f>HYPERLINK("https://files.afu.se/Downloads/Transcripts/0%20-%20Government/USA%20-%20NASA%20Kennedy/2018 02 23 - NASA's Kennedy Space Center - Inside KSC! for Feb. 23, 2018_BYLt-30a7EU - transcript (automated).pdf","Transcript Link")</f>
        <v>Transcript Link</v>
      </c>
      <c r="M574" s="2" t="str">
        <f>HYPERLINK("https://files.afu.se/Downloads/Transcripts/0%20-%20Government/USA%20-%20NASA%20Kennedy/2018 02 23 - NASA's Kennedy Space Center - Inside KSC! for Feb. 23, 2018_BYLt-30a7EU - transcript (automated).pdf","Transcript Link")</f>
        <v>Transcript Link</v>
      </c>
    </row>
    <row r="575" ht="180" spans="1:13">
      <c r="A575" s="1" t="s">
        <v>2666</v>
      </c>
      <c r="B575" s="1" t="s">
        <v>13</v>
      </c>
      <c r="C575" s="4" t="s">
        <v>2667</v>
      </c>
      <c r="D575" s="1" t="s">
        <v>2668</v>
      </c>
      <c r="E575" s="1" t="s">
        <v>2669</v>
      </c>
      <c r="F575" s="4" t="s">
        <v>17</v>
      </c>
      <c r="G575" s="1" t="s">
        <v>18</v>
      </c>
      <c r="H575" s="1" t="s">
        <v>19</v>
      </c>
      <c r="I575" s="1" t="s">
        <v>20</v>
      </c>
      <c r="J575" s="1" t="s">
        <v>2670</v>
      </c>
      <c r="K575" s="1" t="s">
        <v>22</v>
      </c>
      <c r="L575" s="1" t="str">
        <f>HYPERLINK("https://files.afu.se/Downloads/Transcripts/0%20-%20Government/USA%20-%20NASA%20Kennedy/2018 02 21 - NASA's Kennedy Space Center - Welcome to America’s Multi-User Spaceport_Oiexrf3N9w0 - transcript (automated).pdf","Transcript Link")</f>
        <v>Transcript Link</v>
      </c>
      <c r="M575" s="2" t="str">
        <f>HYPERLINK("https://files.afu.se/Downloads/Transcripts/0%20-%20Government/USA%20-%20NASA%20Kennedy/2018 02 21 - NASA's Kennedy Space Center - Welcome to America’s Multi-User Spaceport_Oiexrf3N9w0 - transcript (automated).pdf","Transcript Link")</f>
        <v>Transcript Link</v>
      </c>
    </row>
    <row r="576" ht="225" spans="1:13">
      <c r="A576" s="1" t="s">
        <v>2666</v>
      </c>
      <c r="B576" s="1" t="s">
        <v>13</v>
      </c>
      <c r="C576" s="4" t="s">
        <v>2671</v>
      </c>
      <c r="D576" s="1" t="s">
        <v>2672</v>
      </c>
      <c r="E576" s="1" t="s">
        <v>2673</v>
      </c>
      <c r="F576" s="4" t="s">
        <v>17</v>
      </c>
      <c r="G576" s="1" t="s">
        <v>18</v>
      </c>
      <c r="H576" s="1" t="s">
        <v>19</v>
      </c>
      <c r="I576" s="1" t="s">
        <v>20</v>
      </c>
      <c r="J576" s="1" t="s">
        <v>2674</v>
      </c>
      <c r="K576" s="1" t="s">
        <v>22</v>
      </c>
      <c r="L576" s="1">
        <v>0</v>
      </c>
      <c r="M576" s="2">
        <v>0</v>
      </c>
    </row>
    <row r="577" ht="180" spans="1:13">
      <c r="A577" s="1" t="s">
        <v>2675</v>
      </c>
      <c r="B577" s="1" t="s">
        <v>13</v>
      </c>
      <c r="C577" s="4" t="s">
        <v>2676</v>
      </c>
      <c r="D577" s="1" t="s">
        <v>2677</v>
      </c>
      <c r="E577" s="1" t="s">
        <v>2678</v>
      </c>
      <c r="F577" s="4" t="s">
        <v>17</v>
      </c>
      <c r="G577" s="1" t="s">
        <v>18</v>
      </c>
      <c r="H577" s="1" t="s">
        <v>19</v>
      </c>
      <c r="I577" s="1" t="s">
        <v>20</v>
      </c>
      <c r="J577" s="1" t="s">
        <v>2679</v>
      </c>
      <c r="K577" s="1" t="s">
        <v>22</v>
      </c>
      <c r="L577" s="1" t="str">
        <f>HYPERLINK("https://files.afu.se/Downloads/Transcripts/0%20-%20Government/USA%20-%20NASA%20Kennedy/2018 02 16 - NASA's Kennedy Space Center - Inside KSC! for Feb. 16, 2018_kCrCrOC1n9s - transcript (automated).pdf","Transcript Link")</f>
        <v>Transcript Link</v>
      </c>
      <c r="M577" s="2" t="str">
        <f>HYPERLINK("https://files.afu.se/Downloads/Transcripts/0%20-%20Government/USA%20-%20NASA%20Kennedy/2018 02 16 - NASA's Kennedy Space Center - Inside KSC! for Feb. 16, 2018_kCrCrOC1n9s - transcript (automated).pdf","Transcript Link")</f>
        <v>Transcript Link</v>
      </c>
    </row>
    <row r="578" ht="180" spans="1:13">
      <c r="A578" s="1" t="s">
        <v>2680</v>
      </c>
      <c r="B578" s="1" t="s">
        <v>13</v>
      </c>
      <c r="C578" s="4" t="s">
        <v>2681</v>
      </c>
      <c r="D578" s="1" t="s">
        <v>2682</v>
      </c>
      <c r="E578" s="1" t="s">
        <v>2683</v>
      </c>
      <c r="F578" s="4" t="s">
        <v>17</v>
      </c>
      <c r="G578" s="1" t="s">
        <v>18</v>
      </c>
      <c r="H578" s="1" t="s">
        <v>19</v>
      </c>
      <c r="I578" s="1" t="s">
        <v>20</v>
      </c>
      <c r="J578" s="1" t="s">
        <v>2684</v>
      </c>
      <c r="K578" s="1" t="s">
        <v>22</v>
      </c>
      <c r="L578" s="1" t="str">
        <f>HYPERLINK("https://files.afu.se/Downloads/Transcripts/0%20-%20Government/USA%20-%20NASA%20Kennedy/2018 02 15 - NASA's Kennedy Space Center - GOES-S Countdown to T-Zero, Episode 2  Special Delivery_zxnGaPBHXRA - transcript (automated).pdf","Transcript Link")</f>
        <v>Transcript Link</v>
      </c>
      <c r="M578" s="2" t="str">
        <f>HYPERLINK("https://files.afu.se/Downloads/Transcripts/0%20-%20Government/USA%20-%20NASA%20Kennedy/2018 02 15 - NASA's Kennedy Space Center - GOES-S Countdown to T-Zero, Episode 2  Special Delivery_zxnGaPBHXRA - transcript (automated).pdf","Transcript Link")</f>
        <v>Transcript Link</v>
      </c>
    </row>
    <row r="579" ht="180" spans="1:13">
      <c r="A579" s="1" t="s">
        <v>2685</v>
      </c>
      <c r="B579" s="1" t="s">
        <v>13</v>
      </c>
      <c r="C579" s="4" t="s">
        <v>2686</v>
      </c>
      <c r="D579" s="1" t="s">
        <v>2687</v>
      </c>
      <c r="E579" s="1" t="s">
        <v>2688</v>
      </c>
      <c r="F579" s="4" t="s">
        <v>17</v>
      </c>
      <c r="G579" s="1" t="s">
        <v>18</v>
      </c>
      <c r="H579" s="1" t="s">
        <v>19</v>
      </c>
      <c r="I579" s="1" t="s">
        <v>20</v>
      </c>
      <c r="J579" s="1" t="s">
        <v>2689</v>
      </c>
      <c r="K579" s="1" t="s">
        <v>22</v>
      </c>
      <c r="L579" s="1" t="str">
        <f>HYPERLINK("https://files.afu.se/Downloads/Transcripts/0%20-%20Government/USA%20-%20NASA%20Kennedy/2018 02 06 - NASA's Kennedy Space Center - Did You Know... NASA's Vehicle Assembly Building_q8vpU7ebtnI - transcript (automated).pdf","Transcript Link")</f>
        <v>Transcript Link</v>
      </c>
      <c r="M579" s="2" t="str">
        <f>HYPERLINK("https://files.afu.se/Downloads/Transcripts/0%20-%20Government/USA%20-%20NASA%20Kennedy/2018 02 06 - NASA's Kennedy Space Center - Did You Know... NASA's Vehicle Assembly Building_q8vpU7ebtnI - transcript (automated).pdf","Transcript Link")</f>
        <v>Transcript Link</v>
      </c>
    </row>
    <row r="580" ht="180" spans="1:13">
      <c r="A580" s="1" t="s">
        <v>2690</v>
      </c>
      <c r="B580" s="1" t="s">
        <v>13</v>
      </c>
      <c r="C580" s="4" t="s">
        <v>2691</v>
      </c>
      <c r="D580" s="1" t="s">
        <v>2692</v>
      </c>
      <c r="E580" s="1" t="s">
        <v>2693</v>
      </c>
      <c r="F580" s="4" t="s">
        <v>17</v>
      </c>
      <c r="G580" s="1" t="s">
        <v>18</v>
      </c>
      <c r="H580" s="1" t="s">
        <v>19</v>
      </c>
      <c r="I580" s="1" t="s">
        <v>20</v>
      </c>
      <c r="J580" s="1" t="s">
        <v>2694</v>
      </c>
      <c r="K580" s="1" t="s">
        <v>22</v>
      </c>
      <c r="L580" s="1" t="str">
        <f>HYPERLINK("https://files.afu.se/Downloads/Transcripts/0%20-%20Government/USA%20-%20NASA%20Kennedy/2018 02 02 - NASA's Kennedy Space Center - Inside KSC! for Feb. 2, 2018_z_xz-hPNYxk - transcript (automated).pdf","Transcript Link")</f>
        <v>Transcript Link</v>
      </c>
      <c r="M580" s="2" t="str">
        <f>HYPERLINK("https://files.afu.se/Downloads/Transcripts/0%20-%20Government/USA%20-%20NASA%20Kennedy/2018 02 02 - NASA's Kennedy Space Center - Inside KSC! for Feb. 2, 2018_z_xz-hPNYxk - transcript (automated).pdf","Transcript Link")</f>
        <v>Transcript Link</v>
      </c>
    </row>
    <row r="581" ht="180" spans="1:13">
      <c r="A581" s="1" t="s">
        <v>2695</v>
      </c>
      <c r="B581" s="1" t="s">
        <v>13</v>
      </c>
      <c r="C581" s="4" t="s">
        <v>2696</v>
      </c>
      <c r="D581" s="1" t="s">
        <v>2697</v>
      </c>
      <c r="E581" s="1" t="s">
        <v>2698</v>
      </c>
      <c r="F581" s="4" t="s">
        <v>17</v>
      </c>
      <c r="G581" s="1" t="s">
        <v>18</v>
      </c>
      <c r="H581" s="1" t="s">
        <v>19</v>
      </c>
      <c r="I581" s="1" t="s">
        <v>20</v>
      </c>
      <c r="J581" s="1" t="s">
        <v>2699</v>
      </c>
      <c r="K581" s="1" t="s">
        <v>22</v>
      </c>
      <c r="L581" s="1" t="str">
        <f>HYPERLINK("https://files.afu.se/Downloads/Transcripts/0%20-%20Government/USA%20-%20NASA%20Kennedy/2018 02 01 - NASA's Kennedy Space Center - 2018  A Busy Year for the Launch Services Program_RdWPclPyzis - transcript (automated).pdf","Transcript Link")</f>
        <v>Transcript Link</v>
      </c>
      <c r="M581" s="2" t="str">
        <f>HYPERLINK("https://files.afu.se/Downloads/Transcripts/0%20-%20Government/USA%20-%20NASA%20Kennedy/2018 02 01 - NASA's Kennedy Space Center - 2018  A Busy Year for the Launch Services Program_RdWPclPyzis - transcript (automated).pdf","Transcript Link")</f>
        <v>Transcript Link</v>
      </c>
    </row>
    <row r="582" ht="180" spans="1:13">
      <c r="A582" s="1" t="s">
        <v>2700</v>
      </c>
      <c r="B582" s="1" t="s">
        <v>13</v>
      </c>
      <c r="C582" s="4" t="s">
        <v>2701</v>
      </c>
      <c r="D582" s="1" t="s">
        <v>2702</v>
      </c>
      <c r="E582" s="1" t="s">
        <v>2703</v>
      </c>
      <c r="F582" s="4" t="s">
        <v>17</v>
      </c>
      <c r="G582" s="1" t="s">
        <v>18</v>
      </c>
      <c r="H582" s="1" t="s">
        <v>19</v>
      </c>
      <c r="I582" s="1" t="s">
        <v>20</v>
      </c>
      <c r="J582" s="1" t="s">
        <v>2704</v>
      </c>
      <c r="K582" s="1" t="s">
        <v>22</v>
      </c>
      <c r="L582" s="1" t="str">
        <f>HYPERLINK("https://files.afu.se/Downloads/Transcripts/0%20-%20Government/USA%20-%20NASA%20Kennedy/2018 01 31 - NASA's Kennedy Space Center - The Heartbeat of Exploration_kNnVgnQ4zbw - transcript (automated).pdf","Transcript Link")</f>
        <v>Transcript Link</v>
      </c>
      <c r="M582" s="2" t="str">
        <f>HYPERLINK("https://files.afu.se/Downloads/Transcripts/0%20-%20Government/USA%20-%20NASA%20Kennedy/2018 01 31 - NASA's Kennedy Space Center - The Heartbeat of Exploration_kNnVgnQ4zbw - transcript (automated).pdf","Transcript Link")</f>
        <v>Transcript Link</v>
      </c>
    </row>
    <row r="583" ht="180" spans="1:13">
      <c r="A583" s="1" t="s">
        <v>2700</v>
      </c>
      <c r="B583" s="1" t="s">
        <v>13</v>
      </c>
      <c r="C583" s="4" t="s">
        <v>2705</v>
      </c>
      <c r="D583" s="1" t="s">
        <v>2702</v>
      </c>
      <c r="E583" s="1" t="s">
        <v>2706</v>
      </c>
      <c r="F583" s="4" t="s">
        <v>17</v>
      </c>
      <c r="G583" s="1" t="s">
        <v>18</v>
      </c>
      <c r="H583" s="1" t="s">
        <v>19</v>
      </c>
      <c r="I583" s="1" t="s">
        <v>20</v>
      </c>
      <c r="J583" s="1" t="s">
        <v>2707</v>
      </c>
      <c r="K583" s="1" t="s">
        <v>22</v>
      </c>
      <c r="L583" s="1" t="str">
        <f>HYPERLINK("https://files.afu.se/Downloads/Transcripts/0%20-%20Government/USA%20-%20NASA%20Kennedy/2018 01 31 - NASA's Kennedy Space Center - The Heartbeat of Exploration_cRLKotcyOKA - transcript (automated).pdf","Transcript Link")</f>
        <v>Transcript Link</v>
      </c>
      <c r="M583" s="2" t="str">
        <f>HYPERLINK("https://files.afu.se/Downloads/Transcripts/0%20-%20Government/USA%20-%20NASA%20Kennedy/2018 01 31 - NASA's Kennedy Space Center - The Heartbeat of Exploration_cRLKotcyOKA - transcript (automated).pdf","Transcript Link")</f>
        <v>Transcript Link</v>
      </c>
    </row>
    <row r="584" ht="180" spans="1:13">
      <c r="A584" s="1" t="s">
        <v>2708</v>
      </c>
      <c r="B584" s="1" t="s">
        <v>13</v>
      </c>
      <c r="C584" s="4" t="s">
        <v>2709</v>
      </c>
      <c r="D584" s="1" t="s">
        <v>2710</v>
      </c>
      <c r="E584" s="1" t="s">
        <v>2711</v>
      </c>
      <c r="F584" s="4" t="s">
        <v>17</v>
      </c>
      <c r="G584" s="1" t="s">
        <v>18</v>
      </c>
      <c r="H584" s="1" t="s">
        <v>19</v>
      </c>
      <c r="I584" s="1" t="s">
        <v>20</v>
      </c>
      <c r="J584" s="1" t="s">
        <v>2712</v>
      </c>
      <c r="K584" s="1" t="s">
        <v>22</v>
      </c>
      <c r="L584" s="1" t="str">
        <f>HYPERLINK("https://files.afu.se/Downloads/Transcripts/0%20-%20Government/USA%20-%20NASA%20Kennedy/2018 01 26 - NASA's Kennedy Space Center - Inside KSC! for Jan. 26, 2018_fQskhJ5_aRg - transcript (automated).pdf","Transcript Link")</f>
        <v>Transcript Link</v>
      </c>
      <c r="M584" s="2" t="str">
        <f>HYPERLINK("https://files.afu.se/Downloads/Transcripts/0%20-%20Government/USA%20-%20NASA%20Kennedy/2018 01 26 - NASA's Kennedy Space Center - Inside KSC! for Jan. 26, 2018_fQskhJ5_aRg - transcript (automated).pdf","Transcript Link")</f>
        <v>Transcript Link</v>
      </c>
    </row>
    <row r="585" ht="180" spans="1:13">
      <c r="A585" s="1" t="s">
        <v>2713</v>
      </c>
      <c r="B585" s="1" t="s">
        <v>13</v>
      </c>
      <c r="C585" s="4" t="s">
        <v>2714</v>
      </c>
      <c r="D585" s="1" t="s">
        <v>2715</v>
      </c>
      <c r="E585" s="1" t="s">
        <v>2716</v>
      </c>
      <c r="F585" s="4" t="s">
        <v>17</v>
      </c>
      <c r="G585" s="1" t="s">
        <v>18</v>
      </c>
      <c r="H585" s="1" t="s">
        <v>19</v>
      </c>
      <c r="I585" s="1" t="s">
        <v>20</v>
      </c>
      <c r="J585" s="1" t="s">
        <v>2717</v>
      </c>
      <c r="K585" s="1" t="s">
        <v>22</v>
      </c>
      <c r="L585" s="1" t="str">
        <f>HYPERLINK("https://files.afu.se/Downloads/Transcripts/0%20-%20Government/USA%20-%20NASA%20Kennedy/2018 01 19 - NASA's Kennedy Space Center - Inside KSC! for Jan. 19, 2018_B6Q_OXef1Qc - transcript (automated).pdf","Transcript Link")</f>
        <v>Transcript Link</v>
      </c>
      <c r="M585" s="2" t="str">
        <f>HYPERLINK("https://files.afu.se/Downloads/Transcripts/0%20-%20Government/USA%20-%20NASA%20Kennedy/2018 01 19 - NASA's Kennedy Space Center - Inside KSC! for Jan. 19, 2018_B6Q_OXef1Qc - transcript (automated).pdf","Transcript Link")</f>
        <v>Transcript Link</v>
      </c>
    </row>
    <row r="586" ht="180" spans="1:13">
      <c r="A586" s="1" t="s">
        <v>2718</v>
      </c>
      <c r="B586" s="1" t="s">
        <v>13</v>
      </c>
      <c r="C586" s="4" t="s">
        <v>2719</v>
      </c>
      <c r="D586" s="1" t="s">
        <v>2720</v>
      </c>
      <c r="E586" s="1" t="s">
        <v>2721</v>
      </c>
      <c r="F586" s="4" t="s">
        <v>17</v>
      </c>
      <c r="G586" s="1" t="s">
        <v>18</v>
      </c>
      <c r="H586" s="1" t="s">
        <v>19</v>
      </c>
      <c r="I586" s="1" t="s">
        <v>20</v>
      </c>
      <c r="J586" s="1" t="s">
        <v>2722</v>
      </c>
      <c r="K586" s="1" t="s">
        <v>22</v>
      </c>
      <c r="L586" s="1" t="str">
        <f>HYPERLINK("https://files.afu.se/Downloads/Transcripts/0%20-%20Government/USA%20-%20NASA%20Kennedy/2018 01 12 - NASA's Kennedy Space Center - Inside KSC! Jan. 12, 2018_dJB9v4cjBLU - transcript (automated).pdf","Transcript Link")</f>
        <v>Transcript Link</v>
      </c>
      <c r="M586" s="2" t="str">
        <f>HYPERLINK("https://files.afu.se/Downloads/Transcripts/0%20-%20Government/USA%20-%20NASA%20Kennedy/2018 01 12 - NASA's Kennedy Space Center - Inside KSC! Jan. 12, 2018_dJB9v4cjBLU - transcript (automated).pdf","Transcript Link")</f>
        <v>Transcript Link</v>
      </c>
    </row>
    <row r="587" ht="180" spans="1:13">
      <c r="A587" s="1" t="s">
        <v>2723</v>
      </c>
      <c r="B587" s="1" t="s">
        <v>13</v>
      </c>
      <c r="C587" s="4" t="s">
        <v>2724</v>
      </c>
      <c r="D587" s="1" t="s">
        <v>2725</v>
      </c>
      <c r="E587" s="1" t="s">
        <v>2726</v>
      </c>
      <c r="F587" s="4" t="s">
        <v>17</v>
      </c>
      <c r="G587" s="1" t="s">
        <v>18</v>
      </c>
      <c r="H587" s="1" t="s">
        <v>19</v>
      </c>
      <c r="I587" s="1" t="s">
        <v>20</v>
      </c>
      <c r="J587" s="1" t="s">
        <v>2727</v>
      </c>
      <c r="K587" s="1" t="s">
        <v>22</v>
      </c>
      <c r="L587" s="1" t="str">
        <f>HYPERLINK("https://files.afu.se/Downloads/Transcripts/0%20-%20Government/USA%20-%20NASA%20Kennedy/2018 01 05 - NASA's Kennedy Space Center - Inside KSC! for Jan. 5, 2018_IEMusBb6x6A - transcript (automated).pdf","Transcript Link")</f>
        <v>Transcript Link</v>
      </c>
      <c r="M587" s="2" t="str">
        <f>HYPERLINK("https://files.afu.se/Downloads/Transcripts/0%20-%20Government/USA%20-%20NASA%20Kennedy/2018 01 05 - NASA's Kennedy Space Center - Inside KSC! for Jan. 5, 2018_IEMusBb6x6A - transcript (automated).pdf","Transcript Link")</f>
        <v>Transcript Link</v>
      </c>
    </row>
    <row r="588" ht="180" spans="1:13">
      <c r="A588" s="1" t="s">
        <v>2728</v>
      </c>
      <c r="B588" s="1" t="s">
        <v>13</v>
      </c>
      <c r="C588" s="4" t="s">
        <v>2729</v>
      </c>
      <c r="D588" s="1" t="s">
        <v>2730</v>
      </c>
      <c r="E588" s="1" t="s">
        <v>2731</v>
      </c>
      <c r="F588" s="4" t="s">
        <v>17</v>
      </c>
      <c r="G588" s="1" t="s">
        <v>18</v>
      </c>
      <c r="H588" s="1" t="s">
        <v>19</v>
      </c>
      <c r="I588" s="1" t="s">
        <v>20</v>
      </c>
      <c r="J588" s="1" t="s">
        <v>2732</v>
      </c>
      <c r="K588" s="1" t="s">
        <v>22</v>
      </c>
      <c r="L588" s="1" t="str">
        <f>HYPERLINK("https://files.afu.se/Downloads/Transcripts/0%20-%20Government/USA%20-%20NASA%20Kennedy/2017 12 21 - NASA's Kennedy Space Center - GOES-S Countdown to T-Zero, Episode 1  Launch Fever_rhBSaWJyLoA - transcript (automated).pdf","Transcript Link")</f>
        <v>Transcript Link</v>
      </c>
      <c r="M588" s="2" t="str">
        <f>HYPERLINK("https://files.afu.se/Downloads/Transcripts/0%20-%20Government/USA%20-%20NASA%20Kennedy/2017 12 21 - NASA's Kennedy Space Center - GOES-S Countdown to T-Zero, Episode 1  Launch Fever_rhBSaWJyLoA - transcript (automated).pdf","Transcript Link")</f>
        <v>Transcript Link</v>
      </c>
    </row>
    <row r="589" ht="180" spans="1:13">
      <c r="A589" s="1" t="s">
        <v>2728</v>
      </c>
      <c r="B589" s="1" t="s">
        <v>13</v>
      </c>
      <c r="C589" s="4" t="s">
        <v>2733</v>
      </c>
      <c r="D589" s="1" t="s">
        <v>2734</v>
      </c>
      <c r="E589" s="1" t="s">
        <v>2735</v>
      </c>
      <c r="F589" s="4" t="s">
        <v>17</v>
      </c>
      <c r="G589" s="1" t="s">
        <v>18</v>
      </c>
      <c r="H589" s="1" t="s">
        <v>19</v>
      </c>
      <c r="I589" s="1" t="s">
        <v>20</v>
      </c>
      <c r="J589" s="1" t="s">
        <v>2736</v>
      </c>
      <c r="K589" s="1" t="s">
        <v>22</v>
      </c>
      <c r="L589" s="1" t="str">
        <f>HYPERLINK("https://files.afu.se/Downloads/Transcripts/0%20-%20Government/USA%20-%20NASA%20Kennedy/2017 12 21 - NASA's Kennedy Space Center - U.S. Air Force Maj. Robert Lawrence Tribute_i3FXDgt56Yo - transcript (automated).pdf","Transcript Link")</f>
        <v>Transcript Link</v>
      </c>
      <c r="M589" s="2" t="str">
        <f>HYPERLINK("https://files.afu.se/Downloads/Transcripts/0%20-%20Government/USA%20-%20NASA%20Kennedy/2017 12 21 - NASA's Kennedy Space Center - U.S. Air Force Maj. Robert Lawrence Tribute_i3FXDgt56Yo - transcript (automated).pdf","Transcript Link")</f>
        <v>Transcript Link</v>
      </c>
    </row>
    <row r="590" ht="180" spans="1:13">
      <c r="A590" s="1" t="s">
        <v>2737</v>
      </c>
      <c r="B590" s="1" t="s">
        <v>13</v>
      </c>
      <c r="C590" s="4" t="s">
        <v>2738</v>
      </c>
      <c r="D590" s="1" t="s">
        <v>2739</v>
      </c>
      <c r="E590" s="1" t="s">
        <v>2740</v>
      </c>
      <c r="F590" s="4" t="s">
        <v>17</v>
      </c>
      <c r="G590" s="1" t="s">
        <v>18</v>
      </c>
      <c r="H590" s="1" t="s">
        <v>19</v>
      </c>
      <c r="I590" s="1" t="s">
        <v>20</v>
      </c>
      <c r="J590" s="1" t="s">
        <v>2741</v>
      </c>
      <c r="K590" s="1" t="s">
        <v>22</v>
      </c>
      <c r="L590" s="1" t="str">
        <f>HYPERLINK("https://files.afu.se/Downloads/Transcripts/0%20-%20Government/USA%20-%20NASA%20Kennedy/2017 12 20 - NASA's Kennedy Space Center - Watch a 360-Degree View of the JPSS-1 Launch atop a Delta II_C2dZs0gTyJ4 - transcript (automated).pdf","Transcript Link")</f>
        <v>Transcript Link</v>
      </c>
      <c r="M590" s="2" t="str">
        <f>HYPERLINK("https://files.afu.se/Downloads/Transcripts/0%20-%20Government/USA%20-%20NASA%20Kennedy/2017 12 20 - NASA's Kennedy Space Center - Watch a 360-Degree View of the JPSS-1 Launch atop a Delta II_C2dZs0gTyJ4 - transcript (automated).pdf","Transcript Link")</f>
        <v>Transcript Link</v>
      </c>
    </row>
    <row r="591" ht="180" spans="1:13">
      <c r="A591" s="1" t="s">
        <v>2737</v>
      </c>
      <c r="B591" s="1" t="s">
        <v>13</v>
      </c>
      <c r="C591" s="4" t="s">
        <v>2742</v>
      </c>
      <c r="D591" s="1" t="s">
        <v>2743</v>
      </c>
      <c r="E591" s="1" t="s">
        <v>2744</v>
      </c>
      <c r="F591" s="4" t="s">
        <v>17</v>
      </c>
      <c r="G591" s="1" t="s">
        <v>18</v>
      </c>
      <c r="H591" s="1" t="s">
        <v>19</v>
      </c>
      <c r="I591" s="1" t="s">
        <v>20</v>
      </c>
      <c r="J591" s="1" t="s">
        <v>2745</v>
      </c>
      <c r="K591" s="1" t="s">
        <v>22</v>
      </c>
      <c r="L591" s="1" t="str">
        <f>HYPERLINK("https://files.afu.se/Downloads/Transcripts/0%20-%20Government/USA%20-%20NASA%20Kennedy/2017 12 20 - NASA's Kennedy Space Center - Progress for NASA's Commercial Crew Program_UVnrb_Z2Wnk - transcript (automated).pdf","Transcript Link")</f>
        <v>Transcript Link</v>
      </c>
      <c r="M591" s="2" t="str">
        <f>HYPERLINK("https://files.afu.se/Downloads/Transcripts/0%20-%20Government/USA%20-%20NASA%20Kennedy/2017 12 20 - NASA's Kennedy Space Center - Progress for NASA's Commercial Crew Program_UVnrb_Z2Wnk - transcript (automated).pdf","Transcript Link")</f>
        <v>Transcript Link</v>
      </c>
    </row>
    <row r="592" ht="180" spans="1:13">
      <c r="A592" s="1" t="s">
        <v>2746</v>
      </c>
      <c r="B592" s="1" t="s">
        <v>13</v>
      </c>
      <c r="C592" s="4" t="s">
        <v>2747</v>
      </c>
      <c r="D592" s="1" t="s">
        <v>2748</v>
      </c>
      <c r="E592" s="1" t="s">
        <v>2749</v>
      </c>
      <c r="F592" s="4" t="s">
        <v>17</v>
      </c>
      <c r="G592" s="1" t="s">
        <v>18</v>
      </c>
      <c r="H592" s="1" t="s">
        <v>19</v>
      </c>
      <c r="I592" s="1" t="s">
        <v>20</v>
      </c>
      <c r="J592" s="1" t="s">
        <v>2750</v>
      </c>
      <c r="K592" s="1" t="s">
        <v>22</v>
      </c>
      <c r="L592" s="1" t="str">
        <f>HYPERLINK("https://files.afu.se/Downloads/Transcripts/0%20-%20Government/USA%20-%20NASA%20Kennedy/2017 12 15 - NASA's Kennedy Space Center - Inside KSC! Dec. 15, 2017_xX86z9ESsbU - transcript (automated).pdf","Transcript Link")</f>
        <v>Transcript Link</v>
      </c>
      <c r="M592" s="2" t="str">
        <f>HYPERLINK("https://files.afu.se/Downloads/Transcripts/0%20-%20Government/USA%20-%20NASA%20Kennedy/2017 12 15 - NASA's Kennedy Space Center - Inside KSC! Dec. 15, 2017_xX86z9ESsbU - transcript (automated).pdf","Transcript Link")</f>
        <v>Transcript Link</v>
      </c>
    </row>
    <row r="593" ht="180" spans="1:13">
      <c r="A593" s="1" t="s">
        <v>2746</v>
      </c>
      <c r="B593" s="1" t="s">
        <v>13</v>
      </c>
      <c r="C593" s="4" t="s">
        <v>2751</v>
      </c>
      <c r="D593" s="1" t="s">
        <v>2752</v>
      </c>
      <c r="E593" s="1" t="s">
        <v>2753</v>
      </c>
      <c r="F593" s="4" t="s">
        <v>17</v>
      </c>
      <c r="G593" s="1" t="s">
        <v>18</v>
      </c>
      <c r="H593" s="1" t="s">
        <v>19</v>
      </c>
      <c r="I593" s="1" t="s">
        <v>20</v>
      </c>
      <c r="J593" s="1" t="s">
        <v>2754</v>
      </c>
      <c r="K593" s="1" t="s">
        <v>22</v>
      </c>
      <c r="L593" s="1" t="str">
        <f>HYPERLINK("https://files.afu.se/Downloads/Transcripts/0%20-%20Government/USA%20-%20NASA%20Kennedy/2017 12 15 - NASA's Kennedy Space Center - SpaceX CRS-13 Liftoff_d3haTESabYI - transcript (automated).pdf","Transcript Link")</f>
        <v>Transcript Link</v>
      </c>
      <c r="M593" s="2" t="str">
        <f>HYPERLINK("https://files.afu.se/Downloads/Transcripts/0%20-%20Government/USA%20-%20NASA%20Kennedy/2017 12 15 - NASA's Kennedy Space Center - SpaceX CRS-13 Liftoff_d3haTESabYI - transcript (automated).pdf","Transcript Link")</f>
        <v>Transcript Link</v>
      </c>
    </row>
    <row r="594" ht="180" spans="1:13">
      <c r="A594" s="1" t="s">
        <v>2755</v>
      </c>
      <c r="B594" s="1" t="s">
        <v>13</v>
      </c>
      <c r="C594" s="4" t="s">
        <v>2756</v>
      </c>
      <c r="D594" s="1" t="s">
        <v>2757</v>
      </c>
      <c r="E594" s="1" t="s">
        <v>2758</v>
      </c>
      <c r="F594" s="4" t="s">
        <v>17</v>
      </c>
      <c r="G594" s="1" t="s">
        <v>18</v>
      </c>
      <c r="H594" s="1" t="s">
        <v>19</v>
      </c>
      <c r="I594" s="1" t="s">
        <v>20</v>
      </c>
      <c r="J594" s="1" t="s">
        <v>2759</v>
      </c>
      <c r="K594" s="1" t="s">
        <v>22</v>
      </c>
      <c r="L594" s="1" t="str">
        <f>HYPERLINK("https://files.afu.se/Downloads/Transcripts/0%20-%20Government/USA%20-%20NASA%20Kennedy/2017 12 13 - NASA's Kennedy Space Center - NASA Astronauts on ISS Enjoy 2018 CCP Calendar Artwork_HICi-1pNWl4 - transcript (automated).pdf","Transcript Link")</f>
        <v>Transcript Link</v>
      </c>
      <c r="M594" s="2" t="str">
        <f>HYPERLINK("https://files.afu.se/Downloads/Transcripts/0%20-%20Government/USA%20-%20NASA%20Kennedy/2017 12 13 - NASA's Kennedy Space Center - NASA Astronauts on ISS Enjoy 2018 CCP Calendar Artwork_HICi-1pNWl4 - transcript (automated).pdf","Transcript Link")</f>
        <v>Transcript Link</v>
      </c>
    </row>
    <row r="595" ht="180" spans="1:13">
      <c r="A595" s="1" t="s">
        <v>2760</v>
      </c>
      <c r="B595" s="1" t="s">
        <v>13</v>
      </c>
      <c r="C595" s="4" t="s">
        <v>2761</v>
      </c>
      <c r="D595" s="1" t="s">
        <v>2762</v>
      </c>
      <c r="E595" s="1" t="s">
        <v>2763</v>
      </c>
      <c r="F595" s="4" t="s">
        <v>17</v>
      </c>
      <c r="G595" s="1" t="s">
        <v>18</v>
      </c>
      <c r="H595" s="1" t="s">
        <v>19</v>
      </c>
      <c r="I595" s="1" t="s">
        <v>20</v>
      </c>
      <c r="J595" s="1" t="s">
        <v>2764</v>
      </c>
      <c r="K595" s="1" t="s">
        <v>22</v>
      </c>
      <c r="L595" s="1" t="str">
        <f>HYPERLINK("https://files.afu.se/Downloads/Transcripts/0%20-%20Government/USA%20-%20NASA%20Kennedy/2017 12 08 - NASA's Kennedy Space Center - CubeSats  Small Satellites, Big Dreams_thuW1S1MN8k - transcript (automated).pdf","Transcript Link")</f>
        <v>Transcript Link</v>
      </c>
      <c r="M595" s="2" t="str">
        <f>HYPERLINK("https://files.afu.se/Downloads/Transcripts/0%20-%20Government/USA%20-%20NASA%20Kennedy/2017 12 08 - NASA's Kennedy Space Center - CubeSats  Small Satellites, Big Dreams_thuW1S1MN8k - transcript (automated).pdf","Transcript Link")</f>
        <v>Transcript Link</v>
      </c>
    </row>
    <row r="596" ht="180" spans="1:13">
      <c r="A596" s="1" t="s">
        <v>2760</v>
      </c>
      <c r="B596" s="1" t="s">
        <v>13</v>
      </c>
      <c r="C596" s="4" t="s">
        <v>2765</v>
      </c>
      <c r="D596" s="1" t="s">
        <v>2766</v>
      </c>
      <c r="E596" s="1" t="s">
        <v>2767</v>
      </c>
      <c r="F596" s="4" t="s">
        <v>17</v>
      </c>
      <c r="G596" s="1" t="s">
        <v>18</v>
      </c>
      <c r="H596" s="1" t="s">
        <v>19</v>
      </c>
      <c r="I596" s="1" t="s">
        <v>20</v>
      </c>
      <c r="J596" s="1" t="s">
        <v>2768</v>
      </c>
      <c r="K596" s="1" t="s">
        <v>22</v>
      </c>
      <c r="L596" s="1" t="str">
        <f>HYPERLINK("https://files.afu.se/Downloads/Transcripts/0%20-%20Government/USA%20-%20NASA%20Kennedy/2017 12 08 - NASA's Kennedy Space Center - Inside KSC! for Dec. 8, 2017_NUvYpi-3riY - transcript (automated).pdf","Transcript Link")</f>
        <v>Transcript Link</v>
      </c>
      <c r="M596" s="2" t="str">
        <f>HYPERLINK("https://files.afu.se/Downloads/Transcripts/0%20-%20Government/USA%20-%20NASA%20Kennedy/2017 12 08 - NASA's Kennedy Space Center - Inside KSC! for Dec. 8, 2017_NUvYpi-3riY - transcript (automated).pdf","Transcript Link")</f>
        <v>Transcript Link</v>
      </c>
    </row>
    <row r="597" ht="180" spans="1:13">
      <c r="A597" s="1" t="s">
        <v>2769</v>
      </c>
      <c r="B597" s="1" t="s">
        <v>13</v>
      </c>
      <c r="C597" s="4" t="s">
        <v>2770</v>
      </c>
      <c r="D597" s="1" t="s">
        <v>2771</v>
      </c>
      <c r="E597" s="1" t="s">
        <v>2772</v>
      </c>
      <c r="F597" s="4" t="s">
        <v>17</v>
      </c>
      <c r="G597" s="1" t="s">
        <v>18</v>
      </c>
      <c r="H597" s="1" t="s">
        <v>19</v>
      </c>
      <c r="I597" s="1" t="s">
        <v>20</v>
      </c>
      <c r="J597" s="1" t="s">
        <v>2773</v>
      </c>
      <c r="K597" s="1" t="s">
        <v>22</v>
      </c>
      <c r="L597" s="1" t="str">
        <f>HYPERLINK("https://files.afu.se/Downloads/Transcripts/0%20-%20Government/USA%20-%20NASA%20Kennedy/2017 12 01 - NASA's Kennedy Space Center - Inside KSC! for Dec. 1, 2017_w-AXR0PZ9FA - transcript (automated).pdf","Transcript Link")</f>
        <v>Transcript Link</v>
      </c>
      <c r="M597" s="2" t="str">
        <f>HYPERLINK("https://files.afu.se/Downloads/Transcripts/0%20-%20Government/USA%20-%20NASA%20Kennedy/2017 12 01 - NASA's Kennedy Space Center - Inside KSC! for Dec. 1, 2017_w-AXR0PZ9FA - transcript (automated).pdf","Transcript Link")</f>
        <v>Transcript Link</v>
      </c>
    </row>
    <row r="598" ht="180" spans="1:13">
      <c r="A598" s="1" t="s">
        <v>2774</v>
      </c>
      <c r="B598" s="1" t="s">
        <v>13</v>
      </c>
      <c r="C598" s="4" t="s">
        <v>2775</v>
      </c>
      <c r="D598" s="1" t="s">
        <v>2776</v>
      </c>
      <c r="E598" s="1" t="s">
        <v>2777</v>
      </c>
      <c r="F598" s="4" t="s">
        <v>17</v>
      </c>
      <c r="G598" s="1" t="s">
        <v>18</v>
      </c>
      <c r="H598" s="1" t="s">
        <v>19</v>
      </c>
      <c r="I598" s="1" t="s">
        <v>20</v>
      </c>
      <c r="J598" s="1" t="s">
        <v>2778</v>
      </c>
      <c r="K598" s="1" t="s">
        <v>22</v>
      </c>
      <c r="L598" s="1" t="str">
        <f>HYPERLINK("https://files.afu.se/Downloads/Transcripts/0%20-%20Government/USA%20-%20NASA%20Kennedy/2017 11 22 - NASA's Kennedy Space Center - Inside KSC! for Nov. 22, 2017_b_pdFAGov1k - transcript (automated).pdf","Transcript Link")</f>
        <v>Transcript Link</v>
      </c>
      <c r="M598" s="2" t="str">
        <f>HYPERLINK("https://files.afu.se/Downloads/Transcripts/0%20-%20Government/USA%20-%20NASA%20Kennedy/2017 11 22 - NASA's Kennedy Space Center - Inside KSC! for Nov. 22, 2017_b_pdFAGov1k - transcript (automated).pdf","Transcript Link")</f>
        <v>Transcript Link</v>
      </c>
    </row>
    <row r="599" ht="180" spans="1:13">
      <c r="A599" s="1" t="s">
        <v>2779</v>
      </c>
      <c r="B599" s="1" t="s">
        <v>13</v>
      </c>
      <c r="C599" s="4" t="s">
        <v>2780</v>
      </c>
      <c r="D599" s="1" t="s">
        <v>2781</v>
      </c>
      <c r="E599" s="1" t="s">
        <v>2782</v>
      </c>
      <c r="F599" s="4" t="s">
        <v>17</v>
      </c>
      <c r="G599" s="1" t="s">
        <v>18</v>
      </c>
      <c r="H599" s="1" t="s">
        <v>19</v>
      </c>
      <c r="I599" s="1" t="s">
        <v>20</v>
      </c>
      <c r="J599" s="1" t="s">
        <v>2783</v>
      </c>
      <c r="K599" s="1" t="s">
        <v>22</v>
      </c>
      <c r="L599" s="1" t="str">
        <f>HYPERLINK("https://files.afu.se/Downloads/Transcripts/0%20-%20Government/USA%20-%20NASA%20Kennedy/2017 11 18 - NASA's Kennedy Space Center - Launch Manager Omar Baez Talks about NOAA's JPSS-1 Launch_xZybdTO4vhQ - transcript (automated).pdf","Transcript Link")</f>
        <v>Transcript Link</v>
      </c>
      <c r="M599" s="2" t="str">
        <f>HYPERLINK("https://files.afu.se/Downloads/Transcripts/0%20-%20Government/USA%20-%20NASA%20Kennedy/2017 11 18 - NASA's Kennedy Space Center - Launch Manager Omar Baez Talks about NOAA's JPSS-1 Launch_xZybdTO4vhQ - transcript (automated).pdf","Transcript Link")</f>
        <v>Transcript Link</v>
      </c>
    </row>
    <row r="600" ht="180" spans="1:13">
      <c r="A600" s="1" t="s">
        <v>2779</v>
      </c>
      <c r="B600" s="1" t="s">
        <v>13</v>
      </c>
      <c r="C600" s="4" t="s">
        <v>2784</v>
      </c>
      <c r="D600" s="1" t="s">
        <v>2785</v>
      </c>
      <c r="E600" s="1" t="s">
        <v>2786</v>
      </c>
      <c r="F600" s="4" t="s">
        <v>17</v>
      </c>
      <c r="G600" s="1" t="s">
        <v>18</v>
      </c>
      <c r="H600" s="1" t="s">
        <v>19</v>
      </c>
      <c r="I600" s="1" t="s">
        <v>20</v>
      </c>
      <c r="J600" s="1" t="s">
        <v>2787</v>
      </c>
      <c r="K600" s="1" t="s">
        <v>22</v>
      </c>
      <c r="L600" s="1" t="str">
        <f>HYPERLINK("https://files.afu.se/Downloads/Transcripts/0%20-%20Government/USA%20-%20NASA%20Kennedy/2017 11 18 - NASA's Kennedy Space Center - NOAA's JPSS-1 Separates from Delta II Second Stage_EzOHR-ZxJFM - transcript (automated).pdf","Transcript Link")</f>
        <v>Transcript Link</v>
      </c>
      <c r="M600" s="2" t="str">
        <f>HYPERLINK("https://files.afu.se/Downloads/Transcripts/0%20-%20Government/USA%20-%20NASA%20Kennedy/2017 11 18 - NASA's Kennedy Space Center - NOAA's JPSS-1 Separates from Delta II Second Stage_EzOHR-ZxJFM - transcript (automated).pdf","Transcript Link")</f>
        <v>Transcript Link</v>
      </c>
    </row>
    <row r="601" ht="180" spans="1:13">
      <c r="A601" s="1" t="s">
        <v>2779</v>
      </c>
      <c r="B601" s="1" t="s">
        <v>13</v>
      </c>
      <c r="C601" s="4" t="s">
        <v>2788</v>
      </c>
      <c r="D601" s="1" t="s">
        <v>2789</v>
      </c>
      <c r="E601" s="1" t="s">
        <v>2790</v>
      </c>
      <c r="F601" s="4" t="s">
        <v>17</v>
      </c>
      <c r="G601" s="1" t="s">
        <v>18</v>
      </c>
      <c r="H601" s="1" t="s">
        <v>19</v>
      </c>
      <c r="I601" s="1" t="s">
        <v>20</v>
      </c>
      <c r="J601" s="1" t="s">
        <v>2791</v>
      </c>
      <c r="K601" s="1" t="s">
        <v>22</v>
      </c>
      <c r="L601" s="1" t="str">
        <f>HYPERLINK("https://files.afu.se/Downloads/Transcripts/0%20-%20Government/USA%20-%20NASA%20Kennedy/2017 11 18 - NASA's Kennedy Space Center - Liftoff! NOAA's JPSS-1 Launches atop a Delta II Rocket on Nov. 18_a6XtN8xJu4c - transcript (automated).pdf","Transcript Link")</f>
        <v>Transcript Link</v>
      </c>
      <c r="M601" s="2" t="str">
        <f>HYPERLINK("https://files.afu.se/Downloads/Transcripts/0%20-%20Government/USA%20-%20NASA%20Kennedy/2017 11 18 - NASA's Kennedy Space Center - Liftoff! NOAA's JPSS-1 Launches atop a Delta II Rocket on Nov. 18_a6XtN8xJu4c - transcript (automated).pdf","Transcript Link")</f>
        <v>Transcript Link</v>
      </c>
    </row>
    <row r="602" ht="180" spans="1:13">
      <c r="A602" s="1" t="s">
        <v>2779</v>
      </c>
      <c r="B602" s="1" t="s">
        <v>13</v>
      </c>
      <c r="C602" s="4" t="s">
        <v>2792</v>
      </c>
      <c r="D602" s="1" t="s">
        <v>2793</v>
      </c>
      <c r="E602" s="1" t="s">
        <v>2794</v>
      </c>
      <c r="F602" s="4" t="s">
        <v>17</v>
      </c>
      <c r="G602" s="1" t="s">
        <v>18</v>
      </c>
      <c r="H602" s="1" t="s">
        <v>19</v>
      </c>
      <c r="I602" s="1" t="s">
        <v>20</v>
      </c>
      <c r="J602" s="1" t="s">
        <v>2795</v>
      </c>
      <c r="K602" s="1" t="s">
        <v>22</v>
      </c>
      <c r="L602" s="1" t="str">
        <f>HYPERLINK("https://files.afu.se/Downloads/Transcripts/0%20-%20Government/USA%20-%20NASA%20Kennedy/2017 11 18 - NASA's Kennedy Space Center - Launch Team Confirms NOAA's JPSS-1 Ready for Liftoff Nov. 18_VRZnHlNupAs - transcript (automated).pdf","Transcript Link")</f>
        <v>Transcript Link</v>
      </c>
      <c r="M602" s="2" t="str">
        <f>HYPERLINK("https://files.afu.se/Downloads/Transcripts/0%20-%20Government/USA%20-%20NASA%20Kennedy/2017 11 18 - NASA's Kennedy Space Center - Launch Team Confirms NOAA's JPSS-1 Ready for Liftoff Nov. 18_VRZnHlNupAs - transcript (automated).pdf","Transcript Link")</f>
        <v>Transcript Link</v>
      </c>
    </row>
    <row r="603" ht="180" spans="1:13">
      <c r="A603" s="1" t="s">
        <v>2779</v>
      </c>
      <c r="B603" s="1" t="s">
        <v>13</v>
      </c>
      <c r="C603" s="4" t="s">
        <v>2796</v>
      </c>
      <c r="D603" s="1" t="s">
        <v>2797</v>
      </c>
      <c r="E603" s="1" t="s">
        <v>2798</v>
      </c>
      <c r="F603" s="4" t="s">
        <v>17</v>
      </c>
      <c r="G603" s="1" t="s">
        <v>18</v>
      </c>
      <c r="H603" s="1" t="s">
        <v>19</v>
      </c>
      <c r="I603" s="1" t="s">
        <v>20</v>
      </c>
      <c r="J603" s="1" t="s">
        <v>2799</v>
      </c>
      <c r="K603" s="1" t="s">
        <v>22</v>
      </c>
      <c r="L603" s="1" t="str">
        <f>HYPERLINK("https://files.afu.se/Downloads/Transcripts/0%20-%20Government/USA%20-%20NASA%20Kennedy/2017 11 18 - NASA's Kennedy Space Center - Broadcast Coverage Begins for NOAA's JPSS-1 Launch on Nov. 18_mbezAsKXhP4 - transcript (automated).pdf","Transcript Link")</f>
        <v>Transcript Link</v>
      </c>
      <c r="M603" s="2" t="str">
        <f>HYPERLINK("https://files.afu.se/Downloads/Transcripts/0%20-%20Government/USA%20-%20NASA%20Kennedy/2017 11 18 - NASA's Kennedy Space Center - Broadcast Coverage Begins for NOAA's JPSS-1 Launch on Nov. 18_mbezAsKXhP4 - transcript (automated).pdf","Transcript Link")</f>
        <v>Transcript Link</v>
      </c>
    </row>
    <row r="604" ht="180" spans="1:13">
      <c r="A604" s="1" t="s">
        <v>2800</v>
      </c>
      <c r="B604" s="1" t="s">
        <v>13</v>
      </c>
      <c r="C604" s="4" t="s">
        <v>2801</v>
      </c>
      <c r="D604" s="1" t="s">
        <v>2802</v>
      </c>
      <c r="E604" s="1" t="s">
        <v>2803</v>
      </c>
      <c r="F604" s="4" t="s">
        <v>17</v>
      </c>
      <c r="G604" s="1" t="s">
        <v>18</v>
      </c>
      <c r="H604" s="1" t="s">
        <v>19</v>
      </c>
      <c r="I604" s="1" t="s">
        <v>20</v>
      </c>
      <c r="J604" s="1" t="s">
        <v>2804</v>
      </c>
      <c r="K604" s="1" t="s">
        <v>22</v>
      </c>
      <c r="L604" s="1" t="str">
        <f>HYPERLINK("https://files.afu.se/Downloads/Transcripts/0%20-%20Government/USA%20-%20NASA%20Kennedy/2017 11 17 - NASA's Kennedy Space Center - Inside KSC! for Nov. 17, 2017_evmi8moXA1w - transcript (automated).pdf","Transcript Link")</f>
        <v>Transcript Link</v>
      </c>
      <c r="M604" s="2" t="str">
        <f>HYPERLINK("https://files.afu.se/Downloads/Transcripts/0%20-%20Government/USA%20-%20NASA%20Kennedy/2017 11 17 - NASA's Kennedy Space Center - Inside KSC! for Nov. 17, 2017_evmi8moXA1w - transcript (automated).pdf","Transcript Link")</f>
        <v>Transcript Link</v>
      </c>
    </row>
    <row r="605" ht="180" spans="1:13">
      <c r="A605" s="1" t="s">
        <v>2805</v>
      </c>
      <c r="B605" s="1" t="s">
        <v>13</v>
      </c>
      <c r="C605" s="4" t="s">
        <v>2806</v>
      </c>
      <c r="D605" s="1" t="s">
        <v>2807</v>
      </c>
      <c r="E605" s="1" t="s">
        <v>2808</v>
      </c>
      <c r="F605" s="4" t="s">
        <v>17</v>
      </c>
      <c r="G605" s="1" t="s">
        <v>18</v>
      </c>
      <c r="H605" s="1" t="s">
        <v>19</v>
      </c>
      <c r="I605" s="1" t="s">
        <v>20</v>
      </c>
      <c r="J605" s="1" t="s">
        <v>2809</v>
      </c>
      <c r="K605" s="1" t="s">
        <v>22</v>
      </c>
      <c r="L605" s="1" t="str">
        <f>HYPERLINK("https://files.afu.se/Downloads/Transcripts/0%20-%20Government/USA%20-%20NASA%20Kennedy/2017 11 15 - NASA's Kennedy Space Center - Second Attempt of NOAA's JPSS-1 Launch Scrubbed for Nov. 15_cZo_YJIvQY0 - transcript (automated).pdf","Transcript Link")</f>
        <v>Transcript Link</v>
      </c>
      <c r="M605" s="2" t="str">
        <f>HYPERLINK("https://files.afu.se/Downloads/Transcripts/0%20-%20Government/USA%20-%20NASA%20Kennedy/2017 11 15 - NASA's Kennedy Space Center - Second Attempt of NOAA's JPSS-1 Launch Scrubbed for Nov. 15_cZo_YJIvQY0 - transcript (automated).pdf","Transcript Link")</f>
        <v>Transcript Link</v>
      </c>
    </row>
    <row r="606" ht="180" spans="1:13">
      <c r="A606" s="1" t="s">
        <v>2810</v>
      </c>
      <c r="B606" s="1" t="s">
        <v>13</v>
      </c>
      <c r="C606" s="4" t="s">
        <v>2811</v>
      </c>
      <c r="D606" s="1" t="s">
        <v>2812</v>
      </c>
      <c r="E606" s="1" t="s">
        <v>2813</v>
      </c>
      <c r="F606" s="4" t="s">
        <v>17</v>
      </c>
      <c r="G606" s="1" t="s">
        <v>18</v>
      </c>
      <c r="H606" s="1" t="s">
        <v>19</v>
      </c>
      <c r="I606" s="1" t="s">
        <v>20</v>
      </c>
      <c r="J606" s="1" t="s">
        <v>2814</v>
      </c>
      <c r="K606" s="1" t="s">
        <v>22</v>
      </c>
      <c r="L606" s="1" t="str">
        <f>HYPERLINK("https://files.afu.se/Downloads/Transcripts/0%20-%20Government/USA%20-%20NASA%20Kennedy/2017 11 14 - NASA's Kennedy Space Center - Launch Team Provides Prelaunch Status of NOAA's JPSS-1 Mission_s7pfiopx-mk - transcript (automated).pdf","Transcript Link")</f>
        <v>Transcript Link</v>
      </c>
      <c r="M606" s="2" t="str">
        <f>HYPERLINK("https://files.afu.se/Downloads/Transcripts/0%20-%20Government/USA%20-%20NASA%20Kennedy/2017 11 14 - NASA's Kennedy Space Center - Launch Team Provides Prelaunch Status of NOAA's JPSS-1 Mission_s7pfiopx-mk - transcript (automated).pdf","Transcript Link")</f>
        <v>Transcript Link</v>
      </c>
    </row>
    <row r="607" ht="180" spans="1:13">
      <c r="A607" s="1" t="s">
        <v>2810</v>
      </c>
      <c r="B607" s="1" t="s">
        <v>13</v>
      </c>
      <c r="C607" s="4" t="s">
        <v>2815</v>
      </c>
      <c r="D607" s="1" t="s">
        <v>2816</v>
      </c>
      <c r="E607" s="1" t="s">
        <v>2817</v>
      </c>
      <c r="F607" s="4" t="s">
        <v>17</v>
      </c>
      <c r="G607" s="1" t="s">
        <v>18</v>
      </c>
      <c r="H607" s="1" t="s">
        <v>19</v>
      </c>
      <c r="I607" s="1" t="s">
        <v>20</v>
      </c>
      <c r="J607" s="1" t="s">
        <v>2818</v>
      </c>
      <c r="K607" s="1" t="s">
        <v>22</v>
      </c>
      <c r="L607" s="1" t="str">
        <f>HYPERLINK("https://files.afu.se/Downloads/Transcripts/0%20-%20Government/USA%20-%20NASA%20Kennedy/2017 11 14 - NASA's Kennedy Space Center - Launch of NOAA's JPSS-1 on a Delta II Rocket Scrubbed for Nov. 14_i4qrkeoJzzo - transcript (automated).pdf","Transcript Link")</f>
        <v>Transcript Link</v>
      </c>
      <c r="M607" s="2" t="str">
        <f>HYPERLINK("https://files.afu.se/Downloads/Transcripts/0%20-%20Government/USA%20-%20NASA%20Kennedy/2017 11 14 - NASA's Kennedy Space Center - Launch of NOAA's JPSS-1 on a Delta II Rocket Scrubbed for Nov. 14_i4qrkeoJzzo - transcript (automated).pdf","Transcript Link")</f>
        <v>Transcript Link</v>
      </c>
    </row>
    <row r="608" ht="180" spans="1:13">
      <c r="A608" s="1" t="s">
        <v>2810</v>
      </c>
      <c r="B608" s="1" t="s">
        <v>13</v>
      </c>
      <c r="C608" s="4" t="s">
        <v>2819</v>
      </c>
      <c r="D608" s="1" t="s">
        <v>2820</v>
      </c>
      <c r="E608" s="1" t="s">
        <v>2821</v>
      </c>
      <c r="F608" s="4" t="s">
        <v>17</v>
      </c>
      <c r="G608" s="1" t="s">
        <v>18</v>
      </c>
      <c r="H608" s="1" t="s">
        <v>19</v>
      </c>
      <c r="I608" s="1" t="s">
        <v>20</v>
      </c>
      <c r="J608" s="1" t="s">
        <v>2822</v>
      </c>
      <c r="K608" s="1" t="s">
        <v>22</v>
      </c>
      <c r="L608" s="1" t="str">
        <f>HYPERLINK("https://files.afu.se/Downloads/Transcripts/0%20-%20Government/USA%20-%20NASA%20Kennedy/2017 11 14 - NASA's Kennedy Space Center - NASA Launch Manager Provides Update on JPSS-1 Launch Scrub_CeODP0cZlKI - transcript (automated).pdf","Transcript Link")</f>
        <v>Transcript Link</v>
      </c>
      <c r="M608" s="2" t="str">
        <f>HYPERLINK("https://files.afu.se/Downloads/Transcripts/0%20-%20Government/USA%20-%20NASA%20Kennedy/2017 11 14 - NASA's Kennedy Space Center - NASA Launch Manager Provides Update on JPSS-1 Launch Scrub_CeODP0cZlKI - transcript (automated).pdf","Transcript Link")</f>
        <v>Transcript Link</v>
      </c>
    </row>
    <row r="609" ht="180" spans="1:13">
      <c r="A609" s="1" t="s">
        <v>2810</v>
      </c>
      <c r="B609" s="1" t="s">
        <v>13</v>
      </c>
      <c r="C609" s="4" t="s">
        <v>2823</v>
      </c>
      <c r="D609" s="1" t="s">
        <v>2824</v>
      </c>
      <c r="E609" s="1" t="s">
        <v>2825</v>
      </c>
      <c r="F609" s="4" t="s">
        <v>17</v>
      </c>
      <c r="G609" s="1" t="s">
        <v>18</v>
      </c>
      <c r="H609" s="1" t="s">
        <v>19</v>
      </c>
      <c r="I609" s="1" t="s">
        <v>20</v>
      </c>
      <c r="J609" s="1" t="s">
        <v>2826</v>
      </c>
      <c r="K609" s="1" t="s">
        <v>22</v>
      </c>
      <c r="L609" s="1" t="str">
        <f>HYPERLINK("https://files.afu.se/Downloads/Transcripts/0%20-%20Government/USA%20-%20NASA%20Kennedy/2017 11 14 - NASA's Kennedy Space Center - Commentary Begins for Launch of NOAA's JPSS-1 Mission_jLGQRnZXBl8 - transcript (automated).pdf","Transcript Link")</f>
        <v>Transcript Link</v>
      </c>
      <c r="M609" s="2" t="str">
        <f>HYPERLINK("https://files.afu.se/Downloads/Transcripts/0%20-%20Government/USA%20-%20NASA%20Kennedy/2017 11 14 - NASA's Kennedy Space Center - Commentary Begins for Launch of NOAA's JPSS-1 Mission_jLGQRnZXBl8 - transcript (automated).pdf","Transcript Link")</f>
        <v>Transcript Link</v>
      </c>
    </row>
    <row r="610" ht="180" spans="1:13">
      <c r="A610" s="1" t="s">
        <v>2827</v>
      </c>
      <c r="B610" s="1" t="s">
        <v>13</v>
      </c>
      <c r="C610" s="4" t="s">
        <v>2828</v>
      </c>
      <c r="D610" s="1" t="s">
        <v>2829</v>
      </c>
      <c r="E610" s="1" t="s">
        <v>2830</v>
      </c>
      <c r="F610" s="4" t="s">
        <v>17</v>
      </c>
      <c r="G610" s="1" t="s">
        <v>18</v>
      </c>
      <c r="H610" s="1" t="s">
        <v>19</v>
      </c>
      <c r="I610" s="1" t="s">
        <v>20</v>
      </c>
      <c r="J610" s="1" t="s">
        <v>2831</v>
      </c>
      <c r="K610" s="1" t="s">
        <v>22</v>
      </c>
      <c r="L610" s="1" t="str">
        <f>HYPERLINK("https://files.afu.se/Downloads/Transcripts/0%20-%20Government/USA%20-%20NASA%20Kennedy/2017 11 13 - NASA's Kennedy Space Center - NASA Ready to Launch NOAA's JPSS-1 on Delta II Rocket_RRsQsOcKy0Y - transcript (automated).pdf","Transcript Link")</f>
        <v>Transcript Link</v>
      </c>
      <c r="M610" s="2" t="str">
        <f>HYPERLINK("https://files.afu.se/Downloads/Transcripts/0%20-%20Government/USA%20-%20NASA%20Kennedy/2017 11 13 - NASA's Kennedy Space Center - NASA Ready to Launch NOAA's JPSS-1 on Delta II Rocket_RRsQsOcKy0Y - transcript (automated).pdf","Transcript Link")</f>
        <v>Transcript Link</v>
      </c>
    </row>
    <row r="611" ht="180" spans="1:13">
      <c r="A611" s="1" t="s">
        <v>2827</v>
      </c>
      <c r="B611" s="1" t="s">
        <v>13</v>
      </c>
      <c r="C611" s="4" t="s">
        <v>2832</v>
      </c>
      <c r="D611" s="1" t="s">
        <v>2833</v>
      </c>
      <c r="E611" s="1" t="s">
        <v>2834</v>
      </c>
      <c r="F611" s="4" t="s">
        <v>17</v>
      </c>
      <c r="G611" s="1" t="s">
        <v>18</v>
      </c>
      <c r="H611" s="1" t="s">
        <v>19</v>
      </c>
      <c r="I611" s="1" t="s">
        <v>20</v>
      </c>
      <c r="J611" s="1" t="s">
        <v>2835</v>
      </c>
      <c r="K611" s="1" t="s">
        <v>22</v>
      </c>
      <c r="L611" s="1" t="str">
        <f>HYPERLINK("https://files.afu.se/Downloads/Transcripts/0%20-%20Government/USA%20-%20NASA%20Kennedy/2017 11 13 - NASA's Kennedy Space Center - NASA Counts Down for Final Two Missions on the Delta II Rocket_6Fj-EjeNuK4 - transcript (automated).pdf","Transcript Link")</f>
        <v>Transcript Link</v>
      </c>
      <c r="M611" s="2" t="str">
        <f>HYPERLINK("https://files.afu.se/Downloads/Transcripts/0%20-%20Government/USA%20-%20NASA%20Kennedy/2017 11 13 - NASA's Kennedy Space Center - NASA Counts Down for Final Two Missions on the Delta II Rocket_6Fj-EjeNuK4 - transcript (automated).pdf","Transcript Link")</f>
        <v>Transcript Link</v>
      </c>
    </row>
    <row r="612" ht="180" spans="1:13">
      <c r="A612" s="1" t="s">
        <v>2827</v>
      </c>
      <c r="B612" s="1" t="s">
        <v>13</v>
      </c>
      <c r="C612" s="4" t="s">
        <v>2836</v>
      </c>
      <c r="D612" s="1" t="s">
        <v>2837</v>
      </c>
      <c r="E612" s="1" t="s">
        <v>2838</v>
      </c>
      <c r="F612" s="4" t="s">
        <v>17</v>
      </c>
      <c r="G612" s="1" t="s">
        <v>18</v>
      </c>
      <c r="H612" s="1" t="s">
        <v>19</v>
      </c>
      <c r="I612" s="1" t="s">
        <v>20</v>
      </c>
      <c r="J612" s="1" t="s">
        <v>2839</v>
      </c>
      <c r="K612" s="1" t="s">
        <v>22</v>
      </c>
      <c r="L612" s="1" t="str">
        <f>HYPERLINK("https://files.afu.se/Downloads/Transcripts/0%20-%20Government/USA%20-%20NASA%20Kennedy/2017 11 13 - NASA's Kennedy Space Center - Inside KSC! for Nov. 13, 2017_F96URIjEiXU - transcript (automated).pdf","Transcript Link")</f>
        <v>Transcript Link</v>
      </c>
      <c r="M612" s="2" t="str">
        <f>HYPERLINK("https://files.afu.se/Downloads/Transcripts/0%20-%20Government/USA%20-%20NASA%20Kennedy/2017 11 13 - NASA's Kennedy Space Center - Inside KSC! for Nov. 13, 2017_F96URIjEiXU - transcript (automated).pdf","Transcript Link")</f>
        <v>Transcript Link</v>
      </c>
    </row>
    <row r="613" ht="180" spans="1:13">
      <c r="A613" s="1" t="s">
        <v>2840</v>
      </c>
      <c r="B613" s="1" t="s">
        <v>13</v>
      </c>
      <c r="C613" s="4" t="s">
        <v>2841</v>
      </c>
      <c r="D613" s="1" t="s">
        <v>2842</v>
      </c>
      <c r="E613" s="1" t="s">
        <v>2843</v>
      </c>
      <c r="F613" s="4" t="s">
        <v>17</v>
      </c>
      <c r="G613" s="1" t="s">
        <v>18</v>
      </c>
      <c r="H613" s="1" t="s">
        <v>19</v>
      </c>
      <c r="I613" s="1" t="s">
        <v>20</v>
      </c>
      <c r="J613" s="1" t="s">
        <v>2844</v>
      </c>
      <c r="K613" s="1" t="s">
        <v>22</v>
      </c>
      <c r="L613" s="1" t="str">
        <f>HYPERLINK("https://files.afu.se/Downloads/Transcripts/0%20-%20Government/USA%20-%20NASA%20Kennedy/2017 11 03 - NASA's Kennedy Space Center - Inside KSC! for Nov. 3, 2017_VNuoOK4bBVg - transcript (automated).pdf","Transcript Link")</f>
        <v>Transcript Link</v>
      </c>
      <c r="M613" s="2" t="str">
        <f>HYPERLINK("https://files.afu.se/Downloads/Transcripts/0%20-%20Government/USA%20-%20NASA%20Kennedy/2017 11 03 - NASA's Kennedy Space Center - Inside KSC! for Nov. 3, 2017_VNuoOK4bBVg - transcript (automated).pdf","Transcript Link")</f>
        <v>Transcript Link</v>
      </c>
    </row>
    <row r="614" ht="180" spans="1:13">
      <c r="A614" s="1" t="s">
        <v>2845</v>
      </c>
      <c r="B614" s="1" t="s">
        <v>13</v>
      </c>
      <c r="C614" s="4" t="s">
        <v>2846</v>
      </c>
      <c r="D614" s="1" t="s">
        <v>2847</v>
      </c>
      <c r="E614" s="1" t="s">
        <v>2848</v>
      </c>
      <c r="F614" s="4" t="s">
        <v>17</v>
      </c>
      <c r="G614" s="1" t="s">
        <v>18</v>
      </c>
      <c r="H614" s="1" t="s">
        <v>19</v>
      </c>
      <c r="I614" s="1" t="s">
        <v>20</v>
      </c>
      <c r="J614" s="1" t="s">
        <v>2849</v>
      </c>
      <c r="K614" s="1" t="s">
        <v>22</v>
      </c>
      <c r="L614" s="1" t="str">
        <f>HYPERLINK("https://files.afu.se/Downloads/Transcripts/0%20-%20Government/USA%20-%20NASA%20Kennedy/2017 11 02 - NASA's Kennedy Space Center - KSC’s IDEAS Working to Make Ground Operations Safer and More Efficient_A_CzxCGM5mU - transcript (automated).pdf","Transcript Link")</f>
        <v>Transcript Link</v>
      </c>
      <c r="M614" s="2" t="str">
        <f>HYPERLINK("https://files.afu.se/Downloads/Transcripts/0%20-%20Government/USA%20-%20NASA%20Kennedy/2017 11 02 - NASA's Kennedy Space Center - KSC’s IDEAS Working to Make Ground Operations Safer and More Efficient_A_CzxCGM5mU - transcript (automated).pdf","Transcript Link")</f>
        <v>Transcript Link</v>
      </c>
    </row>
    <row r="615" ht="180" spans="1:13">
      <c r="A615" s="1" t="s">
        <v>2850</v>
      </c>
      <c r="B615" s="1" t="s">
        <v>13</v>
      </c>
      <c r="C615" s="4" t="s">
        <v>2851</v>
      </c>
      <c r="D615" s="1" t="s">
        <v>2852</v>
      </c>
      <c r="E615" s="1" t="s">
        <v>2853</v>
      </c>
      <c r="F615" s="4" t="s">
        <v>17</v>
      </c>
      <c r="G615" s="1" t="s">
        <v>18</v>
      </c>
      <c r="H615" s="1" t="s">
        <v>19</v>
      </c>
      <c r="I615" s="1" t="s">
        <v>20</v>
      </c>
      <c r="J615" s="1" t="s">
        <v>2854</v>
      </c>
      <c r="K615" s="1" t="s">
        <v>22</v>
      </c>
      <c r="L615" s="1" t="str">
        <f>HYPERLINK("https://files.afu.se/Downloads/Transcripts/0%20-%20Government/USA%20-%20NASA%20Kennedy/2017 10 20 - NASA's Kennedy Space Center - Inside KSC! for Oct. 20, 2017_3UZa1RvOVFU - transcript (automated).pdf","Transcript Link")</f>
        <v>Transcript Link</v>
      </c>
      <c r="M615" s="2" t="str">
        <f>HYPERLINK("https://files.afu.se/Downloads/Transcripts/0%20-%20Government/USA%20-%20NASA%20Kennedy/2017 10 20 - NASA's Kennedy Space Center - Inside KSC! for Oct. 20, 2017_3UZa1RvOVFU - transcript (automated).pdf","Transcript Link")</f>
        <v>Transcript Link</v>
      </c>
    </row>
    <row r="616" ht="180" spans="1:13">
      <c r="A616" s="1" t="s">
        <v>2855</v>
      </c>
      <c r="B616" s="1" t="s">
        <v>13</v>
      </c>
      <c r="C616" s="4" t="s">
        <v>2856</v>
      </c>
      <c r="D616" s="1" t="s">
        <v>2857</v>
      </c>
      <c r="E616" s="1" t="s">
        <v>2858</v>
      </c>
      <c r="F616" s="4" t="s">
        <v>17</v>
      </c>
      <c r="G616" s="1" t="s">
        <v>18</v>
      </c>
      <c r="H616" s="1" t="s">
        <v>19</v>
      </c>
      <c r="I616" s="1" t="s">
        <v>20</v>
      </c>
      <c r="J616" s="1" t="s">
        <v>2859</v>
      </c>
      <c r="K616" s="1" t="s">
        <v>22</v>
      </c>
      <c r="L616" s="1" t="str">
        <f>HYPERLINK("https://files.afu.se/Downloads/Transcripts/0%20-%20Government/USA%20-%20NASA%20Kennedy/2017 10 16 - NASA's Kennedy Space Center - Exploration Research and Technology Spotlight on Drew Smith_Y5LXs9AfF9g - transcript (automated).pdf","Transcript Link")</f>
        <v>Transcript Link</v>
      </c>
      <c r="M616" s="2" t="str">
        <f>HYPERLINK("https://files.afu.se/Downloads/Transcripts/0%20-%20Government/USA%20-%20NASA%20Kennedy/2017 10 16 - NASA's Kennedy Space Center - Exploration Research and Technology Spotlight on Drew Smith_Y5LXs9AfF9g - transcript (automated).pdf","Transcript Link")</f>
        <v>Transcript Link</v>
      </c>
    </row>
    <row r="617" ht="180" spans="1:13">
      <c r="A617" s="1" t="s">
        <v>2860</v>
      </c>
      <c r="B617" s="1" t="s">
        <v>13</v>
      </c>
      <c r="C617" s="4" t="s">
        <v>2861</v>
      </c>
      <c r="D617" s="1" t="s">
        <v>2862</v>
      </c>
      <c r="E617" s="1" t="s">
        <v>2863</v>
      </c>
      <c r="F617" s="4" t="s">
        <v>17</v>
      </c>
      <c r="G617" s="1" t="s">
        <v>18</v>
      </c>
      <c r="H617" s="1" t="s">
        <v>19</v>
      </c>
      <c r="I617" s="1" t="s">
        <v>20</v>
      </c>
      <c r="J617" s="1" t="s">
        <v>2864</v>
      </c>
      <c r="K617" s="1" t="s">
        <v>22</v>
      </c>
      <c r="L617" s="1" t="str">
        <f>HYPERLINK("https://files.afu.se/Downloads/Transcripts/0%20-%20Government/USA%20-%20NASA%20Kennedy/2017 10 13 - NASA's Kennedy Space Center - Inside KSC! for Oct. 13, 2017_-z08EcIFWns - transcript (automated).pdf","Transcript Link")</f>
        <v>Transcript Link</v>
      </c>
      <c r="M617" s="2" t="str">
        <f>HYPERLINK("https://files.afu.se/Downloads/Transcripts/0%20-%20Government/USA%20-%20NASA%20Kennedy/2017 10 13 - NASA's Kennedy Space Center - Inside KSC! for Oct. 13, 2017_-z08EcIFWns - transcript (automated).pdf","Transcript Link")</f>
        <v>Transcript Link</v>
      </c>
    </row>
    <row r="618" ht="180" spans="1:13">
      <c r="A618" s="1" t="s">
        <v>2860</v>
      </c>
      <c r="B618" s="1" t="s">
        <v>13</v>
      </c>
      <c r="C618" s="4" t="s">
        <v>2865</v>
      </c>
      <c r="D618" s="1" t="s">
        <v>2866</v>
      </c>
      <c r="E618" s="1" t="s">
        <v>2867</v>
      </c>
      <c r="F618" s="4" t="s">
        <v>17</v>
      </c>
      <c r="G618" s="1" t="s">
        <v>18</v>
      </c>
      <c r="H618" s="1" t="s">
        <v>19</v>
      </c>
      <c r="I618" s="1" t="s">
        <v>20</v>
      </c>
      <c r="J618" s="1" t="s">
        <v>2868</v>
      </c>
      <c r="K618" s="1" t="s">
        <v>22</v>
      </c>
      <c r="L618" s="1" t="str">
        <f>HYPERLINK("https://files.afu.se/Downloads/Transcripts/0%20-%20Government/USA%20-%20NASA%20Kennedy/2017 10 13 - NASA's Kennedy Space Center - NASA's Spacecraft 3D Augmented Reality App_QHpp7nfoECg - transcript (automated).pdf","Transcript Link")</f>
        <v>Transcript Link</v>
      </c>
      <c r="M618" s="2" t="str">
        <f>HYPERLINK("https://files.afu.se/Downloads/Transcripts/0%20-%20Government/USA%20-%20NASA%20Kennedy/2017 10 13 - NASA's Kennedy Space Center - NASA's Spacecraft 3D Augmented Reality App_QHpp7nfoECg - transcript (automated).pdf","Transcript Link")</f>
        <v>Transcript Link</v>
      </c>
    </row>
    <row r="619" ht="180" spans="1:13">
      <c r="A619" s="1" t="s">
        <v>2869</v>
      </c>
      <c r="B619" s="1" t="s">
        <v>13</v>
      </c>
      <c r="C619" s="4" t="s">
        <v>2870</v>
      </c>
      <c r="D619" s="1" t="s">
        <v>2871</v>
      </c>
      <c r="E619" s="1" t="s">
        <v>2872</v>
      </c>
      <c r="F619" s="4" t="s">
        <v>17</v>
      </c>
      <c r="G619" s="1" t="s">
        <v>18</v>
      </c>
      <c r="H619" s="1" t="s">
        <v>19</v>
      </c>
      <c r="I619" s="1" t="s">
        <v>20</v>
      </c>
      <c r="J619" s="1" t="s">
        <v>2873</v>
      </c>
      <c r="K619" s="1" t="s">
        <v>22</v>
      </c>
      <c r="L619" s="1" t="str">
        <f>HYPERLINK("https://files.afu.se/Downloads/Transcripts/0%20-%20Government/USA%20-%20NASA%20Kennedy/2017 09 29 - NASA's Kennedy Space Center - Inside KSC! for Sept. 29, 2017_gwRYz2Np1DU - transcript (automated).pdf","Transcript Link")</f>
        <v>Transcript Link</v>
      </c>
      <c r="M619" s="2" t="str">
        <f>HYPERLINK("https://files.afu.se/Downloads/Transcripts/0%20-%20Government/USA%20-%20NASA%20Kennedy/2017 09 29 - NASA's Kennedy Space Center - Inside KSC! for Sept. 29, 2017_gwRYz2Np1DU - transcript (automated).pdf","Transcript Link")</f>
        <v>Transcript Link</v>
      </c>
    </row>
    <row r="620" ht="180" spans="1:13">
      <c r="A620" s="1" t="s">
        <v>2874</v>
      </c>
      <c r="B620" s="1" t="s">
        <v>13</v>
      </c>
      <c r="C620" s="4" t="s">
        <v>2875</v>
      </c>
      <c r="D620" s="1" t="s">
        <v>2876</v>
      </c>
      <c r="E620" s="1" t="s">
        <v>2877</v>
      </c>
      <c r="F620" s="4" t="s">
        <v>17</v>
      </c>
      <c r="G620" s="1" t="s">
        <v>18</v>
      </c>
      <c r="H620" s="1" t="s">
        <v>19</v>
      </c>
      <c r="I620" s="1" t="s">
        <v>20</v>
      </c>
      <c r="J620" s="1" t="s">
        <v>2878</v>
      </c>
      <c r="K620" s="1" t="s">
        <v>22</v>
      </c>
      <c r="L620" s="1" t="str">
        <f>HYPERLINK("https://files.afu.se/Downloads/Transcripts/0%20-%20Government/USA%20-%20NASA%20Kennedy/2017 09 21 - NASA's Kennedy Space Center - A 360 Look at the Launch of TDRS-M_8KvF56EAP1I - transcript (automated).pdf","Transcript Link")</f>
        <v>Transcript Link</v>
      </c>
      <c r="M620" s="2" t="str">
        <f>HYPERLINK("https://files.afu.se/Downloads/Transcripts/0%20-%20Government/USA%20-%20NASA%20Kennedy/2017 09 21 - NASA's Kennedy Space Center - A 360 Look at the Launch of TDRS-M_8KvF56EAP1I - transcript (automated).pdf","Transcript Link")</f>
        <v>Transcript Link</v>
      </c>
    </row>
    <row r="621" ht="180" spans="1:13">
      <c r="A621" s="1" t="s">
        <v>2879</v>
      </c>
      <c r="B621" s="1" t="s">
        <v>13</v>
      </c>
      <c r="C621" s="4" t="s">
        <v>2880</v>
      </c>
      <c r="D621" s="1" t="s">
        <v>2881</v>
      </c>
      <c r="E621" s="1" t="s">
        <v>2882</v>
      </c>
      <c r="F621" s="4" t="s">
        <v>17</v>
      </c>
      <c r="G621" s="1" t="s">
        <v>18</v>
      </c>
      <c r="H621" s="1" t="s">
        <v>19</v>
      </c>
      <c r="I621" s="1" t="s">
        <v>20</v>
      </c>
      <c r="J621" s="1" t="s">
        <v>2883</v>
      </c>
      <c r="K621" s="1" t="s">
        <v>22</v>
      </c>
      <c r="L621" s="1" t="str">
        <f>HYPERLINK("https://files.afu.se/Downloads/Transcripts/0%20-%20Government/USA%20-%20NASA%20Kennedy/2017 09 18 - NASA's Kennedy Space Center - NASA's Cassini Spacecraft Makes Grand Finale Plunge_o73TwIUKpPY - transcript (automated).pdf","Transcript Link")</f>
        <v>Transcript Link</v>
      </c>
      <c r="M621" s="2" t="str">
        <f>HYPERLINK("https://files.afu.se/Downloads/Transcripts/0%20-%20Government/USA%20-%20NASA%20Kennedy/2017 09 18 - NASA's Kennedy Space Center - NASA's Cassini Spacecraft Makes Grand Finale Plunge_o73TwIUKpPY - transcript (automated).pdf","Transcript Link")</f>
        <v>Transcript Link</v>
      </c>
    </row>
    <row r="622" ht="180" spans="1:13">
      <c r="A622" s="1" t="s">
        <v>2884</v>
      </c>
      <c r="B622" s="1" t="s">
        <v>13</v>
      </c>
      <c r="C622" s="4" t="s">
        <v>2885</v>
      </c>
      <c r="D622" s="1" t="s">
        <v>2886</v>
      </c>
      <c r="E622" s="1" t="s">
        <v>2887</v>
      </c>
      <c r="F622" s="4" t="s">
        <v>17</v>
      </c>
      <c r="G622" s="1" t="s">
        <v>18</v>
      </c>
      <c r="H622" s="1" t="s">
        <v>19</v>
      </c>
      <c r="I622" s="1" t="s">
        <v>20</v>
      </c>
      <c r="J622" s="1" t="s">
        <v>2888</v>
      </c>
      <c r="K622" s="1" t="s">
        <v>22</v>
      </c>
      <c r="L622" s="1" t="str">
        <f>HYPERLINK("https://files.afu.se/Downloads/Transcripts/0%20-%20Government/USA%20-%20NASA%20Kennedy/2017 09 07 - NASA's Kennedy Space Center - Inside KSC! for Sept. 8, 2017_2XrSFTwWRHQ - transcript (automated).pdf","Transcript Link")</f>
        <v>Transcript Link</v>
      </c>
      <c r="M622" s="2" t="str">
        <f>HYPERLINK("https://files.afu.se/Downloads/Transcripts/0%20-%20Government/USA%20-%20NASA%20Kennedy/2017 09 07 - NASA's Kennedy Space Center - Inside KSC! for Sept. 8, 2017_2XrSFTwWRHQ - transcript (automated).pdf","Transcript Link")</f>
        <v>Transcript Link</v>
      </c>
    </row>
    <row r="623" ht="180" spans="1:13">
      <c r="A623" s="1" t="s">
        <v>2889</v>
      </c>
      <c r="B623" s="1" t="s">
        <v>13</v>
      </c>
      <c r="C623" s="4" t="s">
        <v>2890</v>
      </c>
      <c r="D623" s="1" t="s">
        <v>2891</v>
      </c>
      <c r="E623" s="1" t="s">
        <v>2892</v>
      </c>
      <c r="F623" s="4" t="s">
        <v>17</v>
      </c>
      <c r="G623" s="1" t="s">
        <v>18</v>
      </c>
      <c r="H623" s="1" t="s">
        <v>19</v>
      </c>
      <c r="I623" s="1" t="s">
        <v>20</v>
      </c>
      <c r="J623" s="1" t="s">
        <v>2893</v>
      </c>
      <c r="K623" s="1" t="s">
        <v>22</v>
      </c>
      <c r="L623" s="1" t="str">
        <f>HYPERLINK("https://files.afu.se/Downloads/Transcripts/0%20-%20Government/USA%20-%20NASA%20Kennedy/2017 09 01 - NASA's Kennedy Space Center - Inside KSC! for Sept. 1, 2017_7_aSiC60I6c - transcript (automated).pdf","Transcript Link")</f>
        <v>Transcript Link</v>
      </c>
      <c r="M623" s="2" t="str">
        <f>HYPERLINK("https://files.afu.se/Downloads/Transcripts/0%20-%20Government/USA%20-%20NASA%20Kennedy/2017 09 01 - NASA's Kennedy Space Center - Inside KSC! for Sept. 1, 2017_7_aSiC60I6c - transcript (automated).pdf","Transcript Link")</f>
        <v>Transcript Link</v>
      </c>
    </row>
    <row r="624" ht="180" spans="1:13">
      <c r="A624" s="1" t="s">
        <v>2894</v>
      </c>
      <c r="B624" s="1" t="s">
        <v>13</v>
      </c>
      <c r="C624" s="4" t="s">
        <v>2895</v>
      </c>
      <c r="D624" s="1" t="s">
        <v>2896</v>
      </c>
      <c r="E624" s="1" t="s">
        <v>2897</v>
      </c>
      <c r="F624" s="4" t="s">
        <v>17</v>
      </c>
      <c r="G624" s="1" t="s">
        <v>18</v>
      </c>
      <c r="H624" s="1" t="s">
        <v>19</v>
      </c>
      <c r="I624" s="1" t="s">
        <v>20</v>
      </c>
      <c r="J624" s="1" t="s">
        <v>2898</v>
      </c>
      <c r="K624" s="1" t="s">
        <v>22</v>
      </c>
      <c r="L624" s="1" t="str">
        <f>HYPERLINK("https://files.afu.se/Downloads/Transcripts/0%20-%20Government/USA%20-%20NASA%20Kennedy/2017 08 25 - NASA's Kennedy Space Center - Inside KSC! for Aug. 25, 2017_2C525utItf8 - transcript (automated).pdf","Transcript Link")</f>
        <v>Transcript Link</v>
      </c>
      <c r="M624" s="2" t="str">
        <f>HYPERLINK("https://files.afu.se/Downloads/Transcripts/0%20-%20Government/USA%20-%20NASA%20Kennedy/2017 08 25 - NASA's Kennedy Space Center - Inside KSC! for Aug. 25, 2017_2C525utItf8 - transcript (automated).pdf","Transcript Link")</f>
        <v>Transcript Link</v>
      </c>
    </row>
    <row r="625" ht="180" spans="1:13">
      <c r="A625" s="1" t="s">
        <v>2899</v>
      </c>
      <c r="B625" s="1" t="s">
        <v>13</v>
      </c>
      <c r="C625" s="4" t="s">
        <v>2900</v>
      </c>
      <c r="D625" s="1" t="s">
        <v>2901</v>
      </c>
      <c r="E625" s="1" t="s">
        <v>2902</v>
      </c>
      <c r="F625" s="4" t="s">
        <v>17</v>
      </c>
      <c r="G625" s="1" t="s">
        <v>18</v>
      </c>
      <c r="H625" s="1" t="s">
        <v>19</v>
      </c>
      <c r="I625" s="1" t="s">
        <v>20</v>
      </c>
      <c r="J625" s="1" t="s">
        <v>2903</v>
      </c>
      <c r="K625" s="1" t="s">
        <v>22</v>
      </c>
      <c r="L625" s="1" t="str">
        <f>HYPERLINK("https://files.afu.se/Downloads/Transcripts/0%20-%20Government/USA%20-%20NASA%20Kennedy/2017 08 18 - NASA's Kennedy Space Center - TDRS-M Post-Launch Inteview with Launch Director Tim Dunn_wh4UB6jEZzs - transcript (automated).pdf","Transcript Link")</f>
        <v>Transcript Link</v>
      </c>
      <c r="M625" s="2" t="str">
        <f>HYPERLINK("https://files.afu.se/Downloads/Transcripts/0%20-%20Government/USA%20-%20NASA%20Kennedy/2017 08 18 - NASA's Kennedy Space Center - TDRS-M Post-Launch Inteview with Launch Director Tim Dunn_wh4UB6jEZzs - transcript (automated).pdf","Transcript Link")</f>
        <v>Transcript Link</v>
      </c>
    </row>
    <row r="626" ht="180" spans="1:13">
      <c r="A626" s="1" t="s">
        <v>2899</v>
      </c>
      <c r="B626" s="1" t="s">
        <v>13</v>
      </c>
      <c r="C626" s="4" t="s">
        <v>2904</v>
      </c>
      <c r="D626" s="1" t="s">
        <v>2905</v>
      </c>
      <c r="E626" s="1" t="s">
        <v>2906</v>
      </c>
      <c r="F626" s="4" t="s">
        <v>17</v>
      </c>
      <c r="G626" s="1" t="s">
        <v>18</v>
      </c>
      <c r="H626" s="1" t="s">
        <v>19</v>
      </c>
      <c r="I626" s="1" t="s">
        <v>20</v>
      </c>
      <c r="J626" s="1" t="s">
        <v>2907</v>
      </c>
      <c r="K626" s="1" t="s">
        <v>22</v>
      </c>
      <c r="L626" s="1" t="str">
        <f>HYPERLINK("https://files.afu.se/Downloads/Transcripts/0%20-%20Government/USA%20-%20NASA%20Kennedy/2017 08 18 - NASA's Kennedy Space Center - TDRS-M Spacecraft Separation_Tl5dE44vbsM - transcript (automated).pdf","Transcript Link")</f>
        <v>Transcript Link</v>
      </c>
      <c r="M626" s="2" t="str">
        <f>HYPERLINK("https://files.afu.se/Downloads/Transcripts/0%20-%20Government/USA%20-%20NASA%20Kennedy/2017 08 18 - NASA's Kennedy Space Center - TDRS-M Spacecraft Separation_Tl5dE44vbsM - transcript (automated).pdf","Transcript Link")</f>
        <v>Transcript Link</v>
      </c>
    </row>
    <row r="627" ht="180" spans="1:13">
      <c r="A627" s="1" t="s">
        <v>2899</v>
      </c>
      <c r="B627" s="1" t="s">
        <v>13</v>
      </c>
      <c r="C627" s="4" t="s">
        <v>2908</v>
      </c>
      <c r="D627" s="1" t="s">
        <v>2909</v>
      </c>
      <c r="E627" s="1" t="s">
        <v>2910</v>
      </c>
      <c r="F627" s="4" t="s">
        <v>17</v>
      </c>
      <c r="G627" s="1" t="s">
        <v>18</v>
      </c>
      <c r="H627" s="1" t="s">
        <v>19</v>
      </c>
      <c r="I627" s="1" t="s">
        <v>20</v>
      </c>
      <c r="J627" s="1" t="s">
        <v>2911</v>
      </c>
      <c r="K627" s="1" t="s">
        <v>22</v>
      </c>
      <c r="L627" s="1" t="str">
        <f>HYPERLINK("https://files.afu.se/Downloads/Transcripts/0%20-%20Government/USA%20-%20NASA%20Kennedy/2017 08 18 - NASA's Kennedy Space Center - Atlas V Rocket Launches with TDRS-M Satellite_EiV2fiFhmf4 - transcript (automated).pdf","Transcript Link")</f>
        <v>Transcript Link</v>
      </c>
      <c r="M627" s="2" t="str">
        <f>HYPERLINK("https://files.afu.se/Downloads/Transcripts/0%20-%20Government/USA%20-%20NASA%20Kennedy/2017 08 18 - NASA's Kennedy Space Center - Atlas V Rocket Launches with TDRS-M Satellite_EiV2fiFhmf4 - transcript (automated).pdf","Transcript Link")</f>
        <v>Transcript Link</v>
      </c>
    </row>
    <row r="628" ht="180" spans="1:13">
      <c r="A628" s="1" t="s">
        <v>2899</v>
      </c>
      <c r="B628" s="1" t="s">
        <v>13</v>
      </c>
      <c r="C628" s="4" t="s">
        <v>2912</v>
      </c>
      <c r="D628" s="1" t="s">
        <v>2913</v>
      </c>
      <c r="E628" s="1" t="s">
        <v>2914</v>
      </c>
      <c r="F628" s="4" t="s">
        <v>17</v>
      </c>
      <c r="G628" s="1" t="s">
        <v>18</v>
      </c>
      <c r="H628" s="1" t="s">
        <v>19</v>
      </c>
      <c r="I628" s="1" t="s">
        <v>20</v>
      </c>
      <c r="J628" s="1" t="s">
        <v>2915</v>
      </c>
      <c r="K628" s="1" t="s">
        <v>22</v>
      </c>
      <c r="L628" s="1" t="str">
        <f>HYPERLINK("https://files.afu.se/Downloads/Transcripts/0%20-%20Government/USA%20-%20NASA%20Kennedy/2017 08 18 - NASA's Kennedy Space Center - Launch Director Polls Managers for TDRS-M Launch_DATel9n1oM4 - transcript (automated).pdf","Transcript Link")</f>
        <v>Transcript Link</v>
      </c>
      <c r="M628" s="2" t="str">
        <f>HYPERLINK("https://files.afu.se/Downloads/Transcripts/0%20-%20Government/USA%20-%20NASA%20Kennedy/2017 08 18 - NASA's Kennedy Space Center - Launch Director Polls Managers for TDRS-M Launch_DATel9n1oM4 - transcript (automated).pdf","Transcript Link")</f>
        <v>Transcript Link</v>
      </c>
    </row>
    <row r="629" ht="180" spans="1:13">
      <c r="A629" s="1" t="s">
        <v>2916</v>
      </c>
      <c r="B629" s="1" t="s">
        <v>13</v>
      </c>
      <c r="C629" s="4" t="s">
        <v>2917</v>
      </c>
      <c r="D629" s="1" t="s">
        <v>2918</v>
      </c>
      <c r="E629" s="1" t="s">
        <v>2919</v>
      </c>
      <c r="F629" s="4" t="s">
        <v>17</v>
      </c>
      <c r="G629" s="1" t="s">
        <v>18</v>
      </c>
      <c r="H629" s="1" t="s">
        <v>19</v>
      </c>
      <c r="I629" s="1" t="s">
        <v>20</v>
      </c>
      <c r="J629" s="1" t="s">
        <v>2920</v>
      </c>
      <c r="K629" s="1" t="s">
        <v>22</v>
      </c>
      <c r="L629" s="1" t="str">
        <f>HYPERLINK("https://files.afu.se/Downloads/Transcripts/0%20-%20Government/USA%20-%20NASA%20Kennedy/2017 08 17 - NASA's Kennedy Space Center - Inside KSC! for Aug. 18, 2017_aPMn_C70VM0 - transcript (automated).pdf","Transcript Link")</f>
        <v>Transcript Link</v>
      </c>
      <c r="M629" s="2" t="str">
        <f>HYPERLINK("https://files.afu.se/Downloads/Transcripts/0%20-%20Government/USA%20-%20NASA%20Kennedy/2017 08 17 - NASA's Kennedy Space Center - Inside KSC! for Aug. 18, 2017_aPMn_C70VM0 - transcript (automated).pdf","Transcript Link")</f>
        <v>Transcript Link</v>
      </c>
    </row>
    <row r="630" ht="180" spans="1:13">
      <c r="A630" s="1" t="s">
        <v>2921</v>
      </c>
      <c r="B630" s="1" t="s">
        <v>13</v>
      </c>
      <c r="C630" s="4" t="s">
        <v>2922</v>
      </c>
      <c r="D630" s="1" t="s">
        <v>2923</v>
      </c>
      <c r="E630" s="1" t="s">
        <v>2924</v>
      </c>
      <c r="F630" s="4" t="s">
        <v>17</v>
      </c>
      <c r="G630" s="1" t="s">
        <v>18</v>
      </c>
      <c r="H630" s="1" t="s">
        <v>19</v>
      </c>
      <c r="I630" s="1" t="s">
        <v>20</v>
      </c>
      <c r="J630" s="1" t="s">
        <v>2925</v>
      </c>
      <c r="K630" s="1" t="s">
        <v>22</v>
      </c>
      <c r="L630" s="1" t="str">
        <f>HYPERLINK("https://files.afu.se/Downloads/Transcripts/0%20-%20Government/USA%20-%20NASA%20Kennedy/2017 08 16 - NASA's Kennedy Space Center - NASA Commercial Crew  Partnering with American Industry_lDcqMK7S4y0 - transcript (automated).pdf","Transcript Link")</f>
        <v>Transcript Link</v>
      </c>
      <c r="M630" s="2" t="str">
        <f>HYPERLINK("https://files.afu.se/Downloads/Transcripts/0%20-%20Government/USA%20-%20NASA%20Kennedy/2017 08 16 - NASA's Kennedy Space Center - NASA Commercial Crew  Partnering with American Industry_lDcqMK7S4y0 - transcript (automated).pdf","Transcript Link")</f>
        <v>Transcript Link</v>
      </c>
    </row>
    <row r="631" ht="180" spans="1:13">
      <c r="A631" s="1" t="s">
        <v>2926</v>
      </c>
      <c r="B631" s="1" t="s">
        <v>13</v>
      </c>
      <c r="C631" s="4" t="s">
        <v>2927</v>
      </c>
      <c r="D631" s="1" t="s">
        <v>2928</v>
      </c>
      <c r="E631" s="1" t="s">
        <v>2929</v>
      </c>
      <c r="F631" s="4" t="s">
        <v>17</v>
      </c>
      <c r="G631" s="1" t="s">
        <v>18</v>
      </c>
      <c r="H631" s="1" t="s">
        <v>19</v>
      </c>
      <c r="I631" s="1" t="s">
        <v>20</v>
      </c>
      <c r="J631" s="1" t="s">
        <v>2930</v>
      </c>
      <c r="K631" s="1" t="s">
        <v>22</v>
      </c>
      <c r="L631" s="1" t="str">
        <f>HYPERLINK("https://files.afu.se/Downloads/Transcripts/0%20-%20Government/USA%20-%20NASA%20Kennedy/2017 08 14 - NASA's Kennedy Space Center - SpaceX CRS-12 Launches to the International Space Station_5e_TNLem-DU - transcript (automated).pdf","Transcript Link")</f>
        <v>Transcript Link</v>
      </c>
      <c r="M631" s="2" t="str">
        <f>HYPERLINK("https://files.afu.se/Downloads/Transcripts/0%20-%20Government/USA%20-%20NASA%20Kennedy/2017 08 14 - NASA's Kennedy Space Center - SpaceX CRS-12 Launches to the International Space Station_5e_TNLem-DU - transcript (automated).pdf","Transcript Link")</f>
        <v>Transcript Link</v>
      </c>
    </row>
    <row r="632" ht="180" spans="1:13">
      <c r="A632" s="1" t="s">
        <v>2931</v>
      </c>
      <c r="B632" s="1" t="s">
        <v>13</v>
      </c>
      <c r="C632" s="4" t="s">
        <v>2932</v>
      </c>
      <c r="D632" s="1" t="s">
        <v>2933</v>
      </c>
      <c r="E632" s="1" t="s">
        <v>2934</v>
      </c>
      <c r="F632" s="4" t="s">
        <v>17</v>
      </c>
      <c r="G632" s="1" t="s">
        <v>18</v>
      </c>
      <c r="H632" s="1" t="s">
        <v>19</v>
      </c>
      <c r="I632" s="1" t="s">
        <v>20</v>
      </c>
      <c r="J632" s="1" t="s">
        <v>2935</v>
      </c>
      <c r="K632" s="1" t="s">
        <v>22</v>
      </c>
      <c r="L632" s="1" t="str">
        <f>HYPERLINK("https://files.afu.se/Downloads/Transcripts/0%20-%20Government/USA%20-%20NASA%20Kennedy/2017 08 11 - NASA's Kennedy Space Center - Inside KSC! for Aug. 11, 2017_3WDhh4XLyng - transcript (automated).pdf","Transcript Link")</f>
        <v>Transcript Link</v>
      </c>
      <c r="M632" s="2" t="str">
        <f>HYPERLINK("https://files.afu.se/Downloads/Transcripts/0%20-%20Government/USA%20-%20NASA%20Kennedy/2017 08 11 - NASA's Kennedy Space Center - Inside KSC! for Aug. 11, 2017_3WDhh4XLyng - transcript (automated).pdf","Transcript Link")</f>
        <v>Transcript Link</v>
      </c>
    </row>
    <row r="633" ht="180" spans="1:13">
      <c r="A633" s="1" t="s">
        <v>2936</v>
      </c>
      <c r="B633" s="1" t="s">
        <v>13</v>
      </c>
      <c r="C633" s="4" t="s">
        <v>2937</v>
      </c>
      <c r="D633" s="1" t="s">
        <v>2938</v>
      </c>
      <c r="E633" s="1" t="s">
        <v>2939</v>
      </c>
      <c r="F633" s="4" t="s">
        <v>17</v>
      </c>
      <c r="G633" s="1" t="s">
        <v>18</v>
      </c>
      <c r="H633" s="1" t="s">
        <v>19</v>
      </c>
      <c r="I633" s="1" t="s">
        <v>20</v>
      </c>
      <c r="J633" s="1" t="s">
        <v>2940</v>
      </c>
      <c r="K633" s="1" t="s">
        <v>22</v>
      </c>
      <c r="L633" s="1" t="str">
        <f>HYPERLINK("https://files.afu.se/Downloads/Transcripts/0%20-%20Government/USA%20-%20NASA%20Kennedy/2017 08 04 - NASA's Kennedy Space Center - Inside KSC! for Aug. 4, 2017_4boOJo3H5HE - transcript (automated).pdf","Transcript Link")</f>
        <v>Transcript Link</v>
      </c>
      <c r="M633" s="2" t="str">
        <f>HYPERLINK("https://files.afu.se/Downloads/Transcripts/0%20-%20Government/USA%20-%20NASA%20Kennedy/2017 08 04 - NASA's Kennedy Space Center - Inside KSC! for Aug. 4, 2017_4boOJo3H5HE - transcript (automated).pdf","Transcript Link")</f>
        <v>Transcript Link</v>
      </c>
    </row>
    <row r="634" ht="180" spans="1:13">
      <c r="A634" s="1" t="s">
        <v>2941</v>
      </c>
      <c r="B634" s="1" t="s">
        <v>13</v>
      </c>
      <c r="C634" s="4" t="s">
        <v>2942</v>
      </c>
      <c r="D634" s="1" t="s">
        <v>2943</v>
      </c>
      <c r="E634" s="1" t="s">
        <v>2944</v>
      </c>
      <c r="F634" s="4" t="s">
        <v>17</v>
      </c>
      <c r="G634" s="1" t="s">
        <v>18</v>
      </c>
      <c r="H634" s="1" t="s">
        <v>19</v>
      </c>
      <c r="I634" s="1" t="s">
        <v>20</v>
      </c>
      <c r="J634" s="1" t="s">
        <v>2945</v>
      </c>
      <c r="K634" s="1" t="s">
        <v>22</v>
      </c>
      <c r="L634" s="1" t="str">
        <f>HYPERLINK("https://files.afu.se/Downloads/Transcripts/0%20-%20Government/USA%20-%20NASA%20Kennedy/2017 07 28 - NASA's Kennedy Space Center - Inside KSC! for July 28, 2017_6a2lLmtxDYA - transcript (automated).pdf","Transcript Link")</f>
        <v>Transcript Link</v>
      </c>
      <c r="M634" s="2" t="str">
        <f>HYPERLINK("https://files.afu.se/Downloads/Transcripts/0%20-%20Government/USA%20-%20NASA%20Kennedy/2017 07 28 - NASA's Kennedy Space Center - Inside KSC! for July 28, 2017_6a2lLmtxDYA - transcript (automated).pdf","Transcript Link")</f>
        <v>Transcript Link</v>
      </c>
    </row>
    <row r="635" ht="180" spans="1:13">
      <c r="A635" s="1" t="s">
        <v>2946</v>
      </c>
      <c r="B635" s="1" t="s">
        <v>13</v>
      </c>
      <c r="C635" s="4" t="s">
        <v>2947</v>
      </c>
      <c r="D635" s="1" t="s">
        <v>2948</v>
      </c>
      <c r="E635" s="1" t="s">
        <v>2949</v>
      </c>
      <c r="F635" s="4" t="s">
        <v>17</v>
      </c>
      <c r="G635" s="1" t="s">
        <v>18</v>
      </c>
      <c r="H635" s="1" t="s">
        <v>19</v>
      </c>
      <c r="I635" s="1" t="s">
        <v>20</v>
      </c>
      <c r="J635" s="1" t="s">
        <v>2950</v>
      </c>
      <c r="K635" s="1" t="s">
        <v>22</v>
      </c>
      <c r="L635" s="1" t="str">
        <f>HYPERLINK("https://files.afu.se/Downloads/Transcripts/0%20-%20Government/USA%20-%20NASA%20Kennedy/2017 07 21 - NASA's Kennedy Space Center - Inside KSC! for July 21, 2017_bTRa1JuwFSw - transcript (automated).pdf","Transcript Link")</f>
        <v>Transcript Link</v>
      </c>
      <c r="M635" s="2" t="str">
        <f>HYPERLINK("https://files.afu.se/Downloads/Transcripts/0%20-%20Government/USA%20-%20NASA%20Kennedy/2017 07 21 - NASA's Kennedy Space Center - Inside KSC! for July 21, 2017_bTRa1JuwFSw - transcript (automated).pdf","Transcript Link")</f>
        <v>Transcript Link</v>
      </c>
    </row>
    <row r="636" ht="210" spans="1:13">
      <c r="A636" s="1" t="s">
        <v>2951</v>
      </c>
      <c r="B636" s="1" t="s">
        <v>13</v>
      </c>
      <c r="C636" s="4" t="s">
        <v>2952</v>
      </c>
      <c r="D636" s="1" t="s">
        <v>2953</v>
      </c>
      <c r="E636" s="1" t="s">
        <v>2954</v>
      </c>
      <c r="F636" s="4" t="s">
        <v>17</v>
      </c>
      <c r="G636" s="1" t="s">
        <v>18</v>
      </c>
      <c r="H636" s="1" t="s">
        <v>19</v>
      </c>
      <c r="I636" s="1" t="s">
        <v>20</v>
      </c>
      <c r="J636" s="1" t="s">
        <v>2955</v>
      </c>
      <c r="K636" s="1" t="s">
        <v>22</v>
      </c>
      <c r="L636" s="1" t="str">
        <f>HYPERLINK("https://files.afu.se/Downloads/Transcripts/0%20-%20Government/USA%20-%20NASA%20Kennedy/2017 07 19 - NASA's Kennedy Space Center - Resource Prospector Mobility Test_jAu3_ad7GtI - transcript (automated).pdf","Transcript Link")</f>
        <v>Transcript Link</v>
      </c>
      <c r="M636" s="2" t="str">
        <f>HYPERLINK("https://files.afu.se/Downloads/Transcripts/0%20-%20Government/USA%20-%20NASA%20Kennedy/2017 07 19 - NASA's Kennedy Space Center - Resource Prospector Mobility Test_jAu3_ad7GtI - transcript (automated).pdf","Transcript Link")</f>
        <v>Transcript Link</v>
      </c>
    </row>
    <row r="637" ht="180" spans="1:13">
      <c r="A637" s="1" t="s">
        <v>2951</v>
      </c>
      <c r="B637" s="1" t="s">
        <v>13</v>
      </c>
      <c r="C637" s="4" t="s">
        <v>2956</v>
      </c>
      <c r="D637" s="1" t="s">
        <v>2957</v>
      </c>
      <c r="E637" s="1" t="s">
        <v>2958</v>
      </c>
      <c r="F637" s="4" t="s">
        <v>17</v>
      </c>
      <c r="G637" s="1" t="s">
        <v>18</v>
      </c>
      <c r="H637" s="1" t="s">
        <v>19</v>
      </c>
      <c r="I637" s="1" t="s">
        <v>20</v>
      </c>
      <c r="J637" s="1" t="s">
        <v>2959</v>
      </c>
      <c r="K637" s="1" t="s">
        <v>22</v>
      </c>
      <c r="L637" s="1" t="str">
        <f>HYPERLINK("https://files.afu.se/Downloads/Transcripts/0%20-%20Government/USA%20-%20NASA%20Kennedy/2017 07 19 - NASA's Kennedy Space Center - Exploration Research and Technology Spotlight on Ye Zhang_pUBZPIg5nj0 - transcript (automated).pdf","Transcript Link")</f>
        <v>Transcript Link</v>
      </c>
      <c r="M637" s="2" t="str">
        <f>HYPERLINK("https://files.afu.se/Downloads/Transcripts/0%20-%20Government/USA%20-%20NASA%20Kennedy/2017 07 19 - NASA's Kennedy Space Center - Exploration Research and Technology Spotlight on Ye Zhang_pUBZPIg5nj0 - transcript (automated).pdf","Transcript Link")</f>
        <v>Transcript Link</v>
      </c>
    </row>
    <row r="638" ht="180" spans="1:13">
      <c r="A638" s="1" t="s">
        <v>2960</v>
      </c>
      <c r="B638" s="1" t="s">
        <v>13</v>
      </c>
      <c r="C638" s="4" t="s">
        <v>2961</v>
      </c>
      <c r="D638" s="1" t="s">
        <v>2962</v>
      </c>
      <c r="E638" s="1" t="s">
        <v>2963</v>
      </c>
      <c r="F638" s="4" t="s">
        <v>17</v>
      </c>
      <c r="G638" s="1" t="s">
        <v>18</v>
      </c>
      <c r="H638" s="1" t="s">
        <v>19</v>
      </c>
      <c r="I638" s="1" t="s">
        <v>20</v>
      </c>
      <c r="J638" s="1" t="s">
        <v>2964</v>
      </c>
      <c r="K638" s="1" t="s">
        <v>22</v>
      </c>
      <c r="L638" s="1" t="str">
        <f>HYPERLINK("https://files.afu.se/Downloads/Transcripts/0%20-%20Government/USA%20-%20NASA%20Kennedy/2017 07 14 - NASA's Kennedy Space Center - Inside KSC! for July 14, 2017_-RLRf83T4Mo - transcript (automated).pdf","Transcript Link")</f>
        <v>Transcript Link</v>
      </c>
      <c r="M638" s="2" t="str">
        <f>HYPERLINK("https://files.afu.se/Downloads/Transcripts/0%20-%20Government/USA%20-%20NASA%20Kennedy/2017 07 14 - NASA's Kennedy Space Center - Inside KSC! for July 14, 2017_-RLRf83T4Mo - transcript (automated).pdf","Transcript Link")</f>
        <v>Transcript Link</v>
      </c>
    </row>
    <row r="639" ht="180" spans="1:13">
      <c r="A639" s="1" t="s">
        <v>2965</v>
      </c>
      <c r="B639" s="1" t="s">
        <v>13</v>
      </c>
      <c r="C639" s="4" t="s">
        <v>2966</v>
      </c>
      <c r="D639" s="1" t="s">
        <v>2967</v>
      </c>
      <c r="E639" s="1" t="s">
        <v>2968</v>
      </c>
      <c r="F639" s="4" t="s">
        <v>17</v>
      </c>
      <c r="G639" s="1" t="s">
        <v>18</v>
      </c>
      <c r="H639" s="1" t="s">
        <v>19</v>
      </c>
      <c r="I639" s="1" t="s">
        <v>20</v>
      </c>
      <c r="J639" s="1" t="s">
        <v>2969</v>
      </c>
      <c r="K639" s="1" t="s">
        <v>22</v>
      </c>
      <c r="L639" s="1" t="str">
        <f>HYPERLINK("https://files.afu.se/Downloads/Transcripts/0%20-%20Government/USA%20-%20NASA%20Kennedy/2017 07 07 - NASA's Kennedy Space Center - Inside KSC! for July 7, 2017_zh5W5cEp_hQ - transcript (automated).pdf","Transcript Link")</f>
        <v>Transcript Link</v>
      </c>
      <c r="M639" s="2" t="str">
        <f>HYPERLINK("https://files.afu.se/Downloads/Transcripts/0%20-%20Government/USA%20-%20NASA%20Kennedy/2017 07 07 - NASA's Kennedy Space Center - Inside KSC! for July 7, 2017_zh5W5cEp_hQ - transcript (automated).pdf","Transcript Link")</f>
        <v>Transcript Link</v>
      </c>
    </row>
    <row r="640" ht="225" spans="1:13">
      <c r="A640" s="1" t="s">
        <v>2970</v>
      </c>
      <c r="B640" s="1" t="s">
        <v>13</v>
      </c>
      <c r="C640" s="4" t="s">
        <v>2971</v>
      </c>
      <c r="D640" s="1" t="s">
        <v>2972</v>
      </c>
      <c r="E640" s="1" t="s">
        <v>2973</v>
      </c>
      <c r="F640" s="4" t="s">
        <v>17</v>
      </c>
      <c r="G640" s="1" t="s">
        <v>18</v>
      </c>
      <c r="H640" s="1" t="s">
        <v>19</v>
      </c>
      <c r="I640" s="1" t="s">
        <v>20</v>
      </c>
      <c r="J640" s="1" t="s">
        <v>2974</v>
      </c>
      <c r="K640" s="1" t="s">
        <v>22</v>
      </c>
      <c r="L640" s="1" t="str">
        <f>HYPERLINK("https://files.afu.se/Downloads/Transcripts/0%20-%20Government/USA%20-%20NASA%20Kennedy/2017 07 06 - NASA's Kennedy Space Center - Vice President Pence Visits NASA, Hails New Era in Space_3qW9q3rEK6M - transcript (automated).pdf","Transcript Link")</f>
        <v>Transcript Link</v>
      </c>
      <c r="M640" s="2" t="str">
        <f>HYPERLINK("https://files.afu.se/Downloads/Transcripts/0%20-%20Government/USA%20-%20NASA%20Kennedy/2017 07 06 - NASA's Kennedy Space Center - Vice President Pence Visits NASA, Hails New Era in Space_3qW9q3rEK6M - transcript (automated).pdf","Transcript Link")</f>
        <v>Transcript Link</v>
      </c>
    </row>
    <row r="641" ht="180" spans="1:13">
      <c r="A641" s="1" t="s">
        <v>2975</v>
      </c>
      <c r="B641" s="1" t="s">
        <v>13</v>
      </c>
      <c r="C641" s="4" t="s">
        <v>2976</v>
      </c>
      <c r="D641" s="1" t="s">
        <v>2977</v>
      </c>
      <c r="E641" s="1" t="s">
        <v>2978</v>
      </c>
      <c r="F641" s="4" t="s">
        <v>17</v>
      </c>
      <c r="G641" s="1" t="s">
        <v>18</v>
      </c>
      <c r="H641" s="1" t="s">
        <v>19</v>
      </c>
      <c r="I641" s="1" t="s">
        <v>20</v>
      </c>
      <c r="J641" s="1" t="s">
        <v>2979</v>
      </c>
      <c r="K641" s="1" t="s">
        <v>22</v>
      </c>
      <c r="L641" s="1" t="str">
        <f>HYPERLINK("https://files.afu.se/Downloads/Transcripts/0%20-%20Government/USA%20-%20NASA%20Kennedy/2017 06 30 - NASA's Kennedy Space Center - Inside KSC! for June 30, 2017_DrJpVeTs5jM - transcript (automated).pdf","Transcript Link")</f>
        <v>Transcript Link</v>
      </c>
      <c r="M641" s="2" t="str">
        <f>HYPERLINK("https://files.afu.se/Downloads/Transcripts/0%20-%20Government/USA%20-%20NASA%20Kennedy/2017 06 30 - NASA's Kennedy Space Center - Inside KSC! for June 30, 2017_DrJpVeTs5jM - transcript (automated).pdf","Transcript Link")</f>
        <v>Transcript Link</v>
      </c>
    </row>
    <row r="642" ht="180" spans="1:13">
      <c r="A642" s="1" t="s">
        <v>2980</v>
      </c>
      <c r="B642" s="1" t="s">
        <v>13</v>
      </c>
      <c r="C642" s="4" t="s">
        <v>2981</v>
      </c>
      <c r="D642" s="1" t="s">
        <v>2982</v>
      </c>
      <c r="E642" s="1" t="s">
        <v>2983</v>
      </c>
      <c r="F642" s="4" t="s">
        <v>17</v>
      </c>
      <c r="G642" s="1" t="s">
        <v>18</v>
      </c>
      <c r="H642" s="1" t="s">
        <v>19</v>
      </c>
      <c r="I642" s="1" t="s">
        <v>20</v>
      </c>
      <c r="J642" s="1" t="s">
        <v>2984</v>
      </c>
      <c r="K642" s="1" t="s">
        <v>22</v>
      </c>
      <c r="L642" s="1" t="str">
        <f>HYPERLINK("https://files.afu.se/Downloads/Transcripts/0%20-%20Government/USA%20-%20NASA%20Kennedy/2017 06 29 - NASA's Kennedy Space Center - Launching Cassini Leaves Legacy of Lasting Pride_WCIX1jGvt98 - transcript (automated).pdf","Transcript Link")</f>
        <v>Transcript Link</v>
      </c>
      <c r="M642" s="2" t="str">
        <f>HYPERLINK("https://files.afu.se/Downloads/Transcripts/0%20-%20Government/USA%20-%20NASA%20Kennedy/2017 06 29 - NASA's Kennedy Space Center - Launching Cassini Leaves Legacy of Lasting Pride_WCIX1jGvt98 - transcript (automated).pdf","Transcript Link")</f>
        <v>Transcript Link</v>
      </c>
    </row>
    <row r="643" ht="180" spans="1:13">
      <c r="A643" s="1" t="s">
        <v>2985</v>
      </c>
      <c r="B643" s="1" t="s">
        <v>13</v>
      </c>
      <c r="C643" s="4" t="s">
        <v>2986</v>
      </c>
      <c r="D643" s="1" t="s">
        <v>2987</v>
      </c>
      <c r="E643" s="1" t="s">
        <v>2988</v>
      </c>
      <c r="F643" s="4" t="s">
        <v>17</v>
      </c>
      <c r="G643" s="1" t="s">
        <v>18</v>
      </c>
      <c r="H643" s="1" t="s">
        <v>19</v>
      </c>
      <c r="I643" s="1" t="s">
        <v>20</v>
      </c>
      <c r="J643" s="1" t="s">
        <v>2989</v>
      </c>
      <c r="K643" s="1" t="s">
        <v>22</v>
      </c>
      <c r="L643" s="1" t="str">
        <f>HYPERLINK("https://files.afu.se/Downloads/Transcripts/0%20-%20Government/USA%20-%20NASA%20Kennedy/2017 06 23 - NASA's Kennedy Space Center - Inside KSC! for June 23, 2017_FKF1D8BFzKU - transcript (automated).pdf","Transcript Link")</f>
        <v>Transcript Link</v>
      </c>
      <c r="M643" s="2" t="str">
        <f>HYPERLINK("https://files.afu.se/Downloads/Transcripts/0%20-%20Government/USA%20-%20NASA%20Kennedy/2017 06 23 - NASA's Kennedy Space Center - Inside KSC! for June 23, 2017_FKF1D8BFzKU - transcript (automated).pdf","Transcript Link")</f>
        <v>Transcript Link</v>
      </c>
    </row>
    <row r="644" ht="180" spans="1:13">
      <c r="A644" s="1" t="s">
        <v>2990</v>
      </c>
      <c r="B644" s="1" t="s">
        <v>13</v>
      </c>
      <c r="C644" s="4" t="s">
        <v>2991</v>
      </c>
      <c r="D644" s="1" t="s">
        <v>2992</v>
      </c>
      <c r="E644" s="1" t="s">
        <v>2993</v>
      </c>
      <c r="F644" s="4" t="s">
        <v>17</v>
      </c>
      <c r="G644" s="1" t="s">
        <v>18</v>
      </c>
      <c r="H644" s="1" t="s">
        <v>19</v>
      </c>
      <c r="I644" s="1" t="s">
        <v>20</v>
      </c>
      <c r="J644" s="1" t="s">
        <v>2994</v>
      </c>
      <c r="K644" s="1" t="s">
        <v>22</v>
      </c>
      <c r="L644" s="1" t="str">
        <f>HYPERLINK("https://files.afu.se/Downloads/Transcripts/0%20-%20Government/USA%20-%20NASA%20Kennedy/2017 06 21 - NASA's Kennedy Space Center - NASA's KSC Ally Video_fRwj7InhQlI - transcript (automated).pdf","Transcript Link")</f>
        <v>Transcript Link</v>
      </c>
      <c r="M644" s="2" t="str">
        <f>HYPERLINK("https://files.afu.se/Downloads/Transcripts/0%20-%20Government/USA%20-%20NASA%20Kennedy/2017 06 21 - NASA's Kennedy Space Center - NASA's KSC Ally Video_fRwj7InhQlI - transcript (automated).pdf","Transcript Link")</f>
        <v>Transcript Link</v>
      </c>
    </row>
    <row r="645" ht="180" spans="1:13">
      <c r="A645" s="1" t="s">
        <v>2995</v>
      </c>
      <c r="B645" s="1" t="s">
        <v>13</v>
      </c>
      <c r="C645" s="4" t="s">
        <v>2996</v>
      </c>
      <c r="D645" s="1" t="s">
        <v>2997</v>
      </c>
      <c r="E645" s="1" t="s">
        <v>2998</v>
      </c>
      <c r="F645" s="4" t="s">
        <v>17</v>
      </c>
      <c r="G645" s="1" t="s">
        <v>18</v>
      </c>
      <c r="H645" s="1" t="s">
        <v>19</v>
      </c>
      <c r="I645" s="1" t="s">
        <v>20</v>
      </c>
      <c r="J645" s="1" t="s">
        <v>2999</v>
      </c>
      <c r="K645" s="1" t="s">
        <v>22</v>
      </c>
      <c r="L645" s="1" t="str">
        <f>HYPERLINK("https://files.afu.se/Downloads/Transcripts/0%20-%20Government/USA%20-%20NASA%20Kennedy/2017 06 16 - NASA's Kennedy Space Center - Inside KSC! for June 16, 2017_4w8NGn6xZiw - transcript (automated).pdf","Transcript Link")</f>
        <v>Transcript Link</v>
      </c>
      <c r="M645" s="2" t="str">
        <f>HYPERLINK("https://files.afu.se/Downloads/Transcripts/0%20-%20Government/USA%20-%20NASA%20Kennedy/2017 06 16 - NASA's Kennedy Space Center - Inside KSC! for June 16, 2017_4w8NGn6xZiw - transcript (automated).pdf","Transcript Link")</f>
        <v>Transcript Link</v>
      </c>
    </row>
    <row r="646" ht="180" spans="1:13">
      <c r="A646" s="1" t="s">
        <v>3000</v>
      </c>
      <c r="B646" s="1" t="s">
        <v>13</v>
      </c>
      <c r="C646" s="4" t="s">
        <v>3001</v>
      </c>
      <c r="D646" s="1" t="s">
        <v>3002</v>
      </c>
      <c r="E646" s="1" t="s">
        <v>3003</v>
      </c>
      <c r="F646" s="4" t="s">
        <v>17</v>
      </c>
      <c r="G646" s="1" t="s">
        <v>18</v>
      </c>
      <c r="H646" s="1" t="s">
        <v>19</v>
      </c>
      <c r="I646" s="1" t="s">
        <v>20</v>
      </c>
      <c r="J646" s="1" t="s">
        <v>3004</v>
      </c>
      <c r="K646" s="1" t="s">
        <v>22</v>
      </c>
      <c r="L646" s="1" t="str">
        <f>HYPERLINK("https://files.afu.se/Downloads/Transcripts/0%20-%20Government/USA%20-%20NASA%20Kennedy/2017 06 09 - NASA's Kennedy Space Center - Inside KSC! for June 9, 2017_STfb-vYwCkM - transcript (automated).pdf","Transcript Link")</f>
        <v>Transcript Link</v>
      </c>
      <c r="M646" s="2" t="str">
        <f>HYPERLINK("https://files.afu.se/Downloads/Transcripts/0%20-%20Government/USA%20-%20NASA%20Kennedy/2017 06 09 - NASA's Kennedy Space Center - Inside KSC! for June 9, 2017_STfb-vYwCkM - transcript (automated).pdf","Transcript Link")</f>
        <v>Transcript Link</v>
      </c>
    </row>
    <row r="647" ht="180" spans="1:13">
      <c r="A647" s="1" t="s">
        <v>3005</v>
      </c>
      <c r="B647" s="1" t="s">
        <v>13</v>
      </c>
      <c r="C647" s="4" t="s">
        <v>3006</v>
      </c>
      <c r="D647" s="1" t="s">
        <v>3007</v>
      </c>
      <c r="E647" s="1" t="s">
        <v>3008</v>
      </c>
      <c r="F647" s="4" t="s">
        <v>17</v>
      </c>
      <c r="G647" s="1" t="s">
        <v>18</v>
      </c>
      <c r="H647" s="1" t="s">
        <v>19</v>
      </c>
      <c r="I647" s="1" t="s">
        <v>20</v>
      </c>
      <c r="J647" s="1" t="s">
        <v>3009</v>
      </c>
      <c r="K647" s="1" t="s">
        <v>22</v>
      </c>
      <c r="L647" s="1" t="str">
        <f>HYPERLINK("https://files.afu.se/Downloads/Transcripts/0%20-%20Government/USA%20-%20NASA%20Kennedy/2017 06 03 - NASA's Kennedy Space Center - SpaceX CRS-11 Liftoff__Qienunq0dk - transcript (automated).pdf","Transcript Link")</f>
        <v>Transcript Link</v>
      </c>
      <c r="M647" s="2" t="str">
        <f>HYPERLINK("https://files.afu.se/Downloads/Transcripts/0%20-%20Government/USA%20-%20NASA%20Kennedy/2017 06 03 - NASA's Kennedy Space Center - SpaceX CRS-11 Liftoff__Qienunq0dk - transcript (automated).pdf","Transcript Link")</f>
        <v>Transcript Link</v>
      </c>
    </row>
    <row r="648" ht="180" spans="1:13">
      <c r="A648" s="1" t="s">
        <v>3010</v>
      </c>
      <c r="B648" s="1" t="s">
        <v>13</v>
      </c>
      <c r="C648" s="4" t="s">
        <v>3011</v>
      </c>
      <c r="D648" s="1" t="s">
        <v>3012</v>
      </c>
      <c r="E648" s="1" t="s">
        <v>3013</v>
      </c>
      <c r="F648" s="4" t="s">
        <v>17</v>
      </c>
      <c r="G648" s="1" t="s">
        <v>18</v>
      </c>
      <c r="H648" s="1" t="s">
        <v>19</v>
      </c>
      <c r="I648" s="1" t="s">
        <v>20</v>
      </c>
      <c r="J648" s="1" t="s">
        <v>3014</v>
      </c>
      <c r="K648" s="1" t="s">
        <v>22</v>
      </c>
      <c r="L648" s="1" t="str">
        <f>HYPERLINK("https://files.afu.se/Downloads/Transcripts/0%20-%20Government/USA%20-%20NASA%20Kennedy/2017 06 02 - NASA's Kennedy Space Center - Inside KSC! for June 2, 2017_bct3VIhqLYw - transcript (automated).pdf","Transcript Link")</f>
        <v>Transcript Link</v>
      </c>
      <c r="M648" s="2" t="str">
        <f>HYPERLINK("https://files.afu.se/Downloads/Transcripts/0%20-%20Government/USA%20-%20NASA%20Kennedy/2017 06 02 - NASA's Kennedy Space Center - Inside KSC! for June 2, 2017_bct3VIhqLYw - transcript (automated).pdf","Transcript Link")</f>
        <v>Transcript Link</v>
      </c>
    </row>
    <row r="649" ht="180" spans="1:13">
      <c r="A649" s="1" t="s">
        <v>3015</v>
      </c>
      <c r="B649" s="1" t="s">
        <v>13</v>
      </c>
      <c r="C649" s="4" t="s">
        <v>3016</v>
      </c>
      <c r="D649" s="1" t="s">
        <v>3017</v>
      </c>
      <c r="E649" s="1" t="s">
        <v>3018</v>
      </c>
      <c r="F649" s="4" t="s">
        <v>17</v>
      </c>
      <c r="G649" s="1" t="s">
        <v>18</v>
      </c>
      <c r="H649" s="1" t="s">
        <v>19</v>
      </c>
      <c r="I649" s="1" t="s">
        <v>20</v>
      </c>
      <c r="J649" s="1" t="s">
        <v>3019</v>
      </c>
      <c r="K649" s="1" t="s">
        <v>22</v>
      </c>
      <c r="L649" s="1" t="str">
        <f>HYPERLINK("https://files.afu.se/Downloads/Transcripts/0%20-%20Government/USA%20-%20NASA%20Kennedy/2017 05 26 - NASA's Kennedy Space Center - Inside KSC for May 26, 2017_K0iN5Ac46iw - transcript (automated).pdf","Transcript Link")</f>
        <v>Transcript Link</v>
      </c>
      <c r="M649" s="2" t="str">
        <f>HYPERLINK("https://files.afu.se/Downloads/Transcripts/0%20-%20Government/USA%20-%20NASA%20Kennedy/2017 05 26 - NASA's Kennedy Space Center - Inside KSC for May 26, 2017_K0iN5Ac46iw - transcript (automated).pdf","Transcript Link")</f>
        <v>Transcript Link</v>
      </c>
    </row>
    <row r="650" ht="180" spans="1:13">
      <c r="A650" s="1" t="s">
        <v>3020</v>
      </c>
      <c r="B650" s="1" t="s">
        <v>13</v>
      </c>
      <c r="C650" s="4" t="s">
        <v>3021</v>
      </c>
      <c r="D650" s="1" t="s">
        <v>3022</v>
      </c>
      <c r="E650" s="1" t="s">
        <v>3023</v>
      </c>
      <c r="F650" s="4" t="s">
        <v>17</v>
      </c>
      <c r="G650" s="1" t="s">
        <v>18</v>
      </c>
      <c r="H650" s="1" t="s">
        <v>19</v>
      </c>
      <c r="I650" s="1" t="s">
        <v>20</v>
      </c>
      <c r="J650" s="1" t="s">
        <v>3024</v>
      </c>
      <c r="K650" s="1" t="s">
        <v>22</v>
      </c>
      <c r="L650" s="1" t="str">
        <f>HYPERLINK("https://files.afu.se/Downloads/Transcripts/0%20-%20Government/USA%20-%20NASA%20Kennedy/2017 05 25 - NASA's Kennedy Space Center - Kennedy Space Center's Launch Services Program - Recent &amp; Upcoming Missions_hZFWwMILyF8 - transcript (automated).pdf","Transcript Link")</f>
        <v>Transcript Link</v>
      </c>
      <c r="M650" s="2" t="str">
        <f>HYPERLINK("https://files.afu.se/Downloads/Transcripts/0%20-%20Government/USA%20-%20NASA%20Kennedy/2017 05 25 - NASA's Kennedy Space Center - Kennedy Space Center's Launch Services Program - Recent &amp; Upcoming Missions_hZFWwMILyF8 - transcript (automated).pdf","Transcript Link")</f>
        <v>Transcript Link</v>
      </c>
    </row>
    <row r="651" ht="180" spans="1:13">
      <c r="A651" s="1" t="s">
        <v>3025</v>
      </c>
      <c r="B651" s="1" t="s">
        <v>13</v>
      </c>
      <c r="C651" s="4" t="s">
        <v>3026</v>
      </c>
      <c r="D651" s="1" t="s">
        <v>3027</v>
      </c>
      <c r="E651" s="1" t="s">
        <v>3028</v>
      </c>
      <c r="F651" s="4" t="s">
        <v>17</v>
      </c>
      <c r="G651" s="1" t="s">
        <v>18</v>
      </c>
      <c r="H651" s="1" t="s">
        <v>19</v>
      </c>
      <c r="I651" s="1" t="s">
        <v>20</v>
      </c>
      <c r="J651" s="1" t="s">
        <v>3029</v>
      </c>
      <c r="K651" s="1" t="s">
        <v>22</v>
      </c>
      <c r="L651" s="1" t="str">
        <f>HYPERLINK("https://files.afu.se/Downloads/Transcripts/0%20-%20Government/USA%20-%20NASA%20Kennedy/2017 05 19 - NASA's Kennedy Space Center - Inside KSC! for May 19, 2017_L-Vm7Vt-F0Q - transcript (automated).pdf","Transcript Link")</f>
        <v>Transcript Link</v>
      </c>
      <c r="M651" s="2" t="str">
        <f>HYPERLINK("https://files.afu.se/Downloads/Transcripts/0%20-%20Government/USA%20-%20NASA%20Kennedy/2017 05 19 - NASA's Kennedy Space Center - Inside KSC! for May 19, 2017_L-Vm7Vt-F0Q - transcript (automated).pdf","Transcript Link")</f>
        <v>Transcript Link</v>
      </c>
    </row>
    <row r="652" ht="180" spans="1:13">
      <c r="A652" s="1" t="s">
        <v>3030</v>
      </c>
      <c r="B652" s="1" t="s">
        <v>13</v>
      </c>
      <c r="C652" s="4" t="s">
        <v>3031</v>
      </c>
      <c r="D652" s="1" t="s">
        <v>3032</v>
      </c>
      <c r="E652" s="1" t="s">
        <v>3033</v>
      </c>
      <c r="F652" s="4" t="s">
        <v>17</v>
      </c>
      <c r="G652" s="1" t="s">
        <v>18</v>
      </c>
      <c r="H652" s="1" t="s">
        <v>19</v>
      </c>
      <c r="I652" s="1" t="s">
        <v>20</v>
      </c>
      <c r="J652" s="1" t="s">
        <v>3034</v>
      </c>
      <c r="K652" s="1" t="s">
        <v>22</v>
      </c>
      <c r="L652" s="1" t="str">
        <f>HYPERLINK("https://files.afu.se/Downloads/Transcripts/0%20-%20Government/USA%20-%20NASA%20Kennedy/2017 05 12 - NASA's Kennedy Space Center - Inside KSC! For May 12, 2017_6X7x2jvGeYc - transcript (automated).pdf","Transcript Link")</f>
        <v>Transcript Link</v>
      </c>
      <c r="M652" s="2" t="str">
        <f>HYPERLINK("https://files.afu.se/Downloads/Transcripts/0%20-%20Government/USA%20-%20NASA%20Kennedy/2017 05 12 - NASA's Kennedy Space Center - Inside KSC! For May 12, 2017_6X7x2jvGeYc - transcript (automated).pdf","Transcript Link")</f>
        <v>Transcript Link</v>
      </c>
    </row>
    <row r="653" ht="180" spans="1:13">
      <c r="A653" s="1" t="s">
        <v>3035</v>
      </c>
      <c r="B653" s="1" t="s">
        <v>13</v>
      </c>
      <c r="C653" s="4" t="s">
        <v>3036</v>
      </c>
      <c r="D653" s="1" t="s">
        <v>3037</v>
      </c>
      <c r="E653" s="1" t="s">
        <v>3038</v>
      </c>
      <c r="F653" s="4" t="s">
        <v>17</v>
      </c>
      <c r="G653" s="1" t="s">
        <v>18</v>
      </c>
      <c r="H653" s="1" t="s">
        <v>19</v>
      </c>
      <c r="I653" s="1" t="s">
        <v>20</v>
      </c>
      <c r="J653" s="1" t="s">
        <v>3039</v>
      </c>
      <c r="K653" s="1" t="s">
        <v>22</v>
      </c>
      <c r="L653" s="1" t="str">
        <f>HYPERLINK("https://files.afu.se/Downloads/Transcripts/0%20-%20Government/USA%20-%20NASA%20Kennedy/2017 05 05 - NASA's Kennedy Space Center - Inside KSC! for May 5, 2017_wwiD0MT_M70 - transcript (automated).pdf","Transcript Link")</f>
        <v>Transcript Link</v>
      </c>
      <c r="M653" s="2" t="str">
        <f>HYPERLINK("https://files.afu.se/Downloads/Transcripts/0%20-%20Government/USA%20-%20NASA%20Kennedy/2017 05 05 - NASA's Kennedy Space Center - Inside KSC! for May 5, 2017_wwiD0MT_M70 - transcript (automated).pdf","Transcript Link")</f>
        <v>Transcript Link</v>
      </c>
    </row>
    <row r="654" ht="180" spans="1:13">
      <c r="A654" s="1" t="s">
        <v>3040</v>
      </c>
      <c r="B654" s="1" t="s">
        <v>13</v>
      </c>
      <c r="C654" s="4" t="s">
        <v>3041</v>
      </c>
      <c r="D654" s="1" t="s">
        <v>3042</v>
      </c>
      <c r="E654" s="1" t="s">
        <v>3043</v>
      </c>
      <c r="F654" s="4" t="s">
        <v>17</v>
      </c>
      <c r="G654" s="1" t="s">
        <v>18</v>
      </c>
      <c r="H654" s="1" t="s">
        <v>19</v>
      </c>
      <c r="I654" s="1" t="s">
        <v>20</v>
      </c>
      <c r="J654" s="1" t="s">
        <v>3044</v>
      </c>
      <c r="K654" s="1" t="s">
        <v>22</v>
      </c>
      <c r="L654" s="1" t="str">
        <f>HYPERLINK("https://files.afu.se/Downloads/Transcripts/0%20-%20Government/USA%20-%20NASA%20Kennedy/2017 04 28 - NASA's Kennedy Space Center - Cygnus Spacecraft, Atlas V Rocket Prepared for Orbital ATK CRS-7_Wy1NkpdEXHo - transcript (automated).pdf","Transcript Link")</f>
        <v>Transcript Link</v>
      </c>
      <c r="M654" s="2" t="str">
        <f>HYPERLINK("https://files.afu.se/Downloads/Transcripts/0%20-%20Government/USA%20-%20NASA%20Kennedy/2017 04 28 - NASA's Kennedy Space Center - Cygnus Spacecraft, Atlas V Rocket Prepared for Orbital ATK CRS-7_Wy1NkpdEXHo - transcript (automated).pdf","Transcript Link")</f>
        <v>Transcript Link</v>
      </c>
    </row>
    <row r="655" ht="180" spans="1:13">
      <c r="A655" s="1" t="s">
        <v>3040</v>
      </c>
      <c r="B655" s="1" t="s">
        <v>13</v>
      </c>
      <c r="C655" s="4" t="s">
        <v>3045</v>
      </c>
      <c r="D655" s="1" t="s">
        <v>3046</v>
      </c>
      <c r="E655" s="1" t="s">
        <v>3047</v>
      </c>
      <c r="F655" s="4" t="s">
        <v>17</v>
      </c>
      <c r="G655" s="1" t="s">
        <v>18</v>
      </c>
      <c r="H655" s="1" t="s">
        <v>19</v>
      </c>
      <c r="I655" s="1" t="s">
        <v>20</v>
      </c>
      <c r="J655" s="1" t="s">
        <v>3048</v>
      </c>
      <c r="K655" s="1" t="s">
        <v>22</v>
      </c>
      <c r="L655" s="1" t="str">
        <f>HYPERLINK("https://files.afu.se/Downloads/Transcripts/0%20-%20Government/USA%20-%20NASA%20Kennedy/2017 04 28 - NASA's Kennedy Space Center - Inside KSC! for April 28, 2017_HareXOAtaZo - transcript (automated).pdf","Transcript Link")</f>
        <v>Transcript Link</v>
      </c>
      <c r="M655" s="2" t="str">
        <f>HYPERLINK("https://files.afu.se/Downloads/Transcripts/0%20-%20Government/USA%20-%20NASA%20Kennedy/2017 04 28 - NASA's Kennedy Space Center - Inside KSC! for April 28, 2017_HareXOAtaZo - transcript (automated).pdf","Transcript Link")</f>
        <v>Transcript Link</v>
      </c>
    </row>
    <row r="656" ht="180" spans="1:13">
      <c r="A656" s="1" t="s">
        <v>3049</v>
      </c>
      <c r="B656" s="1" t="s">
        <v>13</v>
      </c>
      <c r="C656" s="4" t="s">
        <v>3050</v>
      </c>
      <c r="D656" s="1" t="s">
        <v>3051</v>
      </c>
      <c r="E656" s="1" t="s">
        <v>3052</v>
      </c>
      <c r="F656" s="4" t="s">
        <v>17</v>
      </c>
      <c r="G656" s="1" t="s">
        <v>18</v>
      </c>
      <c r="H656" s="1" t="s">
        <v>19</v>
      </c>
      <c r="I656" s="1" t="s">
        <v>20</v>
      </c>
      <c r="J656" s="1" t="s">
        <v>3053</v>
      </c>
      <c r="K656" s="1" t="s">
        <v>22</v>
      </c>
      <c r="L656" s="1" t="str">
        <f>HYPERLINK("https://files.afu.se/Downloads/Transcripts/0%20-%20Government/USA%20-%20NASA%20Kennedy/2017 04 24 - NASA's Kennedy Space Center - Kennedy Space Center in a Time of Transition_V9MxDez33po - transcript (automated).pdf","Transcript Link")</f>
        <v>Transcript Link</v>
      </c>
      <c r="M656" s="2" t="str">
        <f>HYPERLINK("https://files.afu.se/Downloads/Transcripts/0%20-%20Government/USA%20-%20NASA%20Kennedy/2017 04 24 - NASA's Kennedy Space Center - Kennedy Space Center in a Time of Transition_V9MxDez33po - transcript (automated).pdf","Transcript Link")</f>
        <v>Transcript Link</v>
      </c>
    </row>
    <row r="657" ht="180" spans="1:13">
      <c r="A657" s="1" t="s">
        <v>3054</v>
      </c>
      <c r="B657" s="1" t="s">
        <v>13</v>
      </c>
      <c r="C657" s="4" t="s">
        <v>3055</v>
      </c>
      <c r="D657" s="1" t="s">
        <v>3056</v>
      </c>
      <c r="E657" s="1" t="s">
        <v>3057</v>
      </c>
      <c r="F657" s="4" t="s">
        <v>17</v>
      </c>
      <c r="G657" s="1" t="s">
        <v>18</v>
      </c>
      <c r="H657" s="1" t="s">
        <v>19</v>
      </c>
      <c r="I657" s="1" t="s">
        <v>20</v>
      </c>
      <c r="J657" s="1" t="s">
        <v>3058</v>
      </c>
      <c r="K657" s="1" t="s">
        <v>22</v>
      </c>
      <c r="L657" s="1" t="str">
        <f>HYPERLINK("https://files.afu.se/Downloads/Transcripts/0%20-%20Government/USA%20-%20NASA%20Kennedy/2017 04 21 - NASA's Kennedy Space Center - Kennedy Marks 20th Anniversary of Cassini Arrival_gU7KpkVLZ_g - transcript (automated).pdf","Transcript Link")</f>
        <v>Transcript Link</v>
      </c>
      <c r="M657" s="2" t="str">
        <f>HYPERLINK("https://files.afu.se/Downloads/Transcripts/0%20-%20Government/USA%20-%20NASA%20Kennedy/2017 04 21 - NASA's Kennedy Space Center - Kennedy Marks 20th Anniversary of Cassini Arrival_gU7KpkVLZ_g - transcript (automated).pdf","Transcript Link")</f>
        <v>Transcript Link</v>
      </c>
    </row>
    <row r="658" ht="180" spans="1:13">
      <c r="A658" s="1" t="s">
        <v>3054</v>
      </c>
      <c r="B658" s="1" t="s">
        <v>13</v>
      </c>
      <c r="C658" s="4" t="s">
        <v>3059</v>
      </c>
      <c r="D658" s="1" t="s">
        <v>3060</v>
      </c>
      <c r="E658" s="1" t="s">
        <v>3061</v>
      </c>
      <c r="F658" s="4" t="s">
        <v>17</v>
      </c>
      <c r="G658" s="1" t="s">
        <v>18</v>
      </c>
      <c r="H658" s="1" t="s">
        <v>19</v>
      </c>
      <c r="I658" s="1" t="s">
        <v>20</v>
      </c>
      <c r="J658" s="1" t="s">
        <v>3062</v>
      </c>
      <c r="K658" s="1" t="s">
        <v>22</v>
      </c>
      <c r="L658" s="1" t="str">
        <f>HYPERLINK("https://files.afu.se/Downloads/Transcripts/0%20-%20Government/USA%20-%20NASA%20Kennedy/2017 04 21 - NASA's Kennedy Space Center - Inside KSC! for April 21, 2017_tQimE2eXzXo - transcript (automated).pdf","Transcript Link")</f>
        <v>Transcript Link</v>
      </c>
      <c r="M658" s="2" t="str">
        <f>HYPERLINK("https://files.afu.se/Downloads/Transcripts/0%20-%20Government/USA%20-%20NASA%20Kennedy/2017 04 21 - NASA's Kennedy Space Center - Inside KSC! for April 21, 2017_tQimE2eXzXo - transcript (automated).pdf","Transcript Link")</f>
        <v>Transcript Link</v>
      </c>
    </row>
    <row r="659" ht="180" spans="1:13">
      <c r="A659" s="1" t="s">
        <v>3063</v>
      </c>
      <c r="B659" s="1" t="s">
        <v>13</v>
      </c>
      <c r="C659" s="4" t="s">
        <v>3064</v>
      </c>
      <c r="D659" s="1" t="s">
        <v>3065</v>
      </c>
      <c r="E659" s="1" t="s">
        <v>3066</v>
      </c>
      <c r="F659" s="4" t="s">
        <v>17</v>
      </c>
      <c r="G659" s="1" t="s">
        <v>18</v>
      </c>
      <c r="H659" s="1" t="s">
        <v>19</v>
      </c>
      <c r="I659" s="1" t="s">
        <v>20</v>
      </c>
      <c r="J659" s="1" t="s">
        <v>3067</v>
      </c>
      <c r="K659" s="1" t="s">
        <v>22</v>
      </c>
      <c r="L659" s="1" t="str">
        <f>HYPERLINK("https://files.afu.se/Downloads/Transcripts/0%20-%20Government/USA%20-%20NASA%20Kennedy/2017 04 18 - NASA's Kennedy Space Center - Interview with Kennedy Space Center Director Bob Cabana_aO3Mhd2Ncyk - transcript (automated).pdf","Transcript Link")</f>
        <v>Transcript Link</v>
      </c>
      <c r="M659" s="2" t="str">
        <f>HYPERLINK("https://files.afu.se/Downloads/Transcripts/0%20-%20Government/USA%20-%20NASA%20Kennedy/2017 04 18 - NASA's Kennedy Space Center - Interview with Kennedy Space Center Director Bob Cabana_aO3Mhd2Ncyk - transcript (automated).pdf","Transcript Link")</f>
        <v>Transcript Link</v>
      </c>
    </row>
    <row r="660" ht="180" spans="1:13">
      <c r="A660" s="1" t="s">
        <v>3063</v>
      </c>
      <c r="B660" s="1" t="s">
        <v>13</v>
      </c>
      <c r="C660" s="4" t="s">
        <v>3068</v>
      </c>
      <c r="D660" s="1" t="s">
        <v>3069</v>
      </c>
      <c r="E660" s="1" t="s">
        <v>3070</v>
      </c>
      <c r="F660" s="4" t="s">
        <v>17</v>
      </c>
      <c r="G660" s="1" t="s">
        <v>18</v>
      </c>
      <c r="H660" s="1" t="s">
        <v>19</v>
      </c>
      <c r="I660" s="1" t="s">
        <v>20</v>
      </c>
      <c r="J660" s="1" t="s">
        <v>3071</v>
      </c>
      <c r="K660" s="1" t="s">
        <v>22</v>
      </c>
      <c r="L660" s="1" t="str">
        <f>HYPERLINK("https://files.afu.se/Downloads/Transcripts/0%20-%20Government/USA%20-%20NASA%20Kennedy/2017 04 18 - NASA's Kennedy Space Center - Interview with Vern Thorp of United Launch Alliance_KpTYjvqh2Do - transcript (automated).pdf","Transcript Link")</f>
        <v>Transcript Link</v>
      </c>
      <c r="M660" s="2" t="str">
        <f>HYPERLINK("https://files.afu.se/Downloads/Transcripts/0%20-%20Government/USA%20-%20NASA%20Kennedy/2017 04 18 - NASA's Kennedy Space Center - Interview with Vern Thorp of United Launch Alliance_KpTYjvqh2Do - transcript (automated).pdf","Transcript Link")</f>
        <v>Transcript Link</v>
      </c>
    </row>
    <row r="661" ht="180" spans="1:13">
      <c r="A661" s="1" t="s">
        <v>3063</v>
      </c>
      <c r="B661" s="1" t="s">
        <v>13</v>
      </c>
      <c r="C661" s="4" t="s">
        <v>3072</v>
      </c>
      <c r="D661" s="1" t="s">
        <v>3073</v>
      </c>
      <c r="E661" s="1" t="s">
        <v>3074</v>
      </c>
      <c r="F661" s="4" t="s">
        <v>17</v>
      </c>
      <c r="G661" s="1" t="s">
        <v>18</v>
      </c>
      <c r="H661" s="1" t="s">
        <v>19</v>
      </c>
      <c r="I661" s="1" t="s">
        <v>20</v>
      </c>
      <c r="J661" s="1" t="s">
        <v>3075</v>
      </c>
      <c r="K661" s="1" t="s">
        <v>22</v>
      </c>
      <c r="L661" s="1" t="str">
        <f>HYPERLINK("https://files.afu.se/Downloads/Transcripts/0%20-%20Government/USA%20-%20NASA%20Kennedy/2017 04 18 - NASA's Kennedy Space Center - Orbital ATK CRS-7 Cygnus Spacecraft Separation_-w2PzJFoFFY - transcript (automated).pdf","Transcript Link")</f>
        <v>Transcript Link</v>
      </c>
      <c r="M661" s="2" t="str">
        <f>HYPERLINK("https://files.afu.se/Downloads/Transcripts/0%20-%20Government/USA%20-%20NASA%20Kennedy/2017 04 18 - NASA's Kennedy Space Center - Orbital ATK CRS-7 Cygnus Spacecraft Separation_-w2PzJFoFFY - transcript (automated).pdf","Transcript Link")</f>
        <v>Transcript Link</v>
      </c>
    </row>
    <row r="662" ht="180" spans="1:13">
      <c r="A662" s="1" t="s">
        <v>3063</v>
      </c>
      <c r="B662" s="1" t="s">
        <v>13</v>
      </c>
      <c r="C662" s="4" t="s">
        <v>3076</v>
      </c>
      <c r="D662" s="1" t="s">
        <v>3077</v>
      </c>
      <c r="E662" s="1" t="s">
        <v>3078</v>
      </c>
      <c r="F662" s="4" t="s">
        <v>17</v>
      </c>
      <c r="G662" s="1" t="s">
        <v>18</v>
      </c>
      <c r="H662" s="1" t="s">
        <v>19</v>
      </c>
      <c r="I662" s="1" t="s">
        <v>20</v>
      </c>
      <c r="J662" s="1" t="s">
        <v>3079</v>
      </c>
      <c r="K662" s="1" t="s">
        <v>22</v>
      </c>
      <c r="L662" s="1" t="str">
        <f>HYPERLINK("https://files.afu.se/Downloads/Transcripts/0%20-%20Government/USA%20-%20NASA%20Kennedy/2017 04 18 - NASA's Kennedy Space Center - Orbital ATK CRS-7 Lifts off_tGxVZSjNPls - transcript (automated).pdf","Transcript Link")</f>
        <v>Transcript Link</v>
      </c>
      <c r="M662" s="2" t="str">
        <f>HYPERLINK("https://files.afu.se/Downloads/Transcripts/0%20-%20Government/USA%20-%20NASA%20Kennedy/2017 04 18 - NASA's Kennedy Space Center - Orbital ATK CRS-7 Lifts off_tGxVZSjNPls - transcript (automated).pdf","Transcript Link")</f>
        <v>Transcript Link</v>
      </c>
    </row>
    <row r="663" ht="180" spans="1:13">
      <c r="A663" s="1" t="s">
        <v>3063</v>
      </c>
      <c r="B663" s="1" t="s">
        <v>13</v>
      </c>
      <c r="C663" s="4" t="s">
        <v>3080</v>
      </c>
      <c r="D663" s="1" t="s">
        <v>3081</v>
      </c>
      <c r="E663" s="1" t="s">
        <v>3082</v>
      </c>
      <c r="F663" s="4" t="s">
        <v>17</v>
      </c>
      <c r="G663" s="1" t="s">
        <v>18</v>
      </c>
      <c r="H663" s="1" t="s">
        <v>19</v>
      </c>
      <c r="I663" s="1" t="s">
        <v>20</v>
      </c>
      <c r="J663" s="1" t="s">
        <v>3083</v>
      </c>
      <c r="K663" s="1" t="s">
        <v>22</v>
      </c>
      <c r="L663" s="1" t="str">
        <f>HYPERLINK("https://files.afu.se/Downloads/Transcripts/0%20-%20Government/USA%20-%20NASA%20Kennedy/2017 04 18 - NASA's Kennedy Space Center - Atlas V Ready for Launch Cygnus Spacecraft_wP78v3vXqQE - transcript (automated).pdf","Transcript Link")</f>
        <v>Transcript Link</v>
      </c>
      <c r="M663" s="2" t="str">
        <f>HYPERLINK("https://files.afu.se/Downloads/Transcripts/0%20-%20Government/USA%20-%20NASA%20Kennedy/2017 04 18 - NASA's Kennedy Space Center - Atlas V Ready for Launch Cygnus Spacecraft_wP78v3vXqQE - transcript (automated).pdf","Transcript Link")</f>
        <v>Transcript Link</v>
      </c>
    </row>
    <row r="664" ht="180" spans="1:13">
      <c r="A664" s="1" t="s">
        <v>3063</v>
      </c>
      <c r="B664" s="1" t="s">
        <v>13</v>
      </c>
      <c r="C664" s="4" t="s">
        <v>3084</v>
      </c>
      <c r="D664" s="1" t="s">
        <v>3085</v>
      </c>
      <c r="E664" s="1" t="s">
        <v>3086</v>
      </c>
      <c r="F664" s="4" t="s">
        <v>17</v>
      </c>
      <c r="G664" s="1" t="s">
        <v>18</v>
      </c>
      <c r="H664" s="1" t="s">
        <v>19</v>
      </c>
      <c r="I664" s="1" t="s">
        <v>20</v>
      </c>
      <c r="J664" s="1" t="s">
        <v>3087</v>
      </c>
      <c r="K664" s="1" t="s">
        <v>22</v>
      </c>
      <c r="L664" s="1" t="str">
        <f>HYPERLINK("https://files.afu.se/Downloads/Transcripts/0%20-%20Government/USA%20-%20NASA%20Kennedy/2017 04 18 - NASA's Kennedy Space Center - Countdown Underway for Orbital ATK CRS-7_H_Mv-kKDi6s - transcript (automated).pdf","Transcript Link")</f>
        <v>Transcript Link</v>
      </c>
      <c r="M664" s="2" t="str">
        <f>HYPERLINK("https://files.afu.se/Downloads/Transcripts/0%20-%20Government/USA%20-%20NASA%20Kennedy/2017 04 18 - NASA's Kennedy Space Center - Countdown Underway for Orbital ATK CRS-7_H_Mv-kKDi6s - transcript (automated).pdf","Transcript Link")</f>
        <v>Transcript Link</v>
      </c>
    </row>
    <row r="665" ht="180" spans="1:13">
      <c r="A665" s="1" t="s">
        <v>3063</v>
      </c>
      <c r="B665" s="1" t="s">
        <v>13</v>
      </c>
      <c r="C665" s="4" t="s">
        <v>3088</v>
      </c>
      <c r="D665" s="1" t="s">
        <v>3089</v>
      </c>
      <c r="E665" s="1" t="s">
        <v>3090</v>
      </c>
      <c r="F665" s="4" t="s">
        <v>17</v>
      </c>
      <c r="G665" s="1" t="s">
        <v>18</v>
      </c>
      <c r="H665" s="1" t="s">
        <v>19</v>
      </c>
      <c r="I665" s="1" t="s">
        <v>20</v>
      </c>
      <c r="J665" s="1" t="s">
        <v>3091</v>
      </c>
      <c r="K665" s="1" t="s">
        <v>22</v>
      </c>
      <c r="L665" s="1" t="str">
        <f>HYPERLINK("https://files.afu.se/Downloads/Transcripts/0%20-%20Government/USA%20-%20NASA%20Kennedy/2017 04 18 - NASA's Kennedy Space Center - Orbital ATK CRS-7 Atlas V Rolls to Launch Pad_4zbQAZpeP58 - transcript (automated).pdf","Transcript Link")</f>
        <v>Transcript Link</v>
      </c>
      <c r="M665" s="2" t="str">
        <f>HYPERLINK("https://files.afu.se/Downloads/Transcripts/0%20-%20Government/USA%20-%20NASA%20Kennedy/2017 04 18 - NASA's Kennedy Space Center - Orbital ATK CRS-7 Atlas V Rolls to Launch Pad_4zbQAZpeP58 - transcript (automated).pdf","Transcript Link")</f>
        <v>Transcript Link</v>
      </c>
    </row>
    <row r="666" ht="180" spans="1:13">
      <c r="A666" s="1" t="s">
        <v>3092</v>
      </c>
      <c r="B666" s="1" t="s">
        <v>13</v>
      </c>
      <c r="C666" s="4" t="s">
        <v>3093</v>
      </c>
      <c r="D666" s="1" t="s">
        <v>3094</v>
      </c>
      <c r="E666" s="1" t="s">
        <v>3095</v>
      </c>
      <c r="F666" s="4" t="s">
        <v>17</v>
      </c>
      <c r="G666" s="1" t="s">
        <v>18</v>
      </c>
      <c r="H666" s="1" t="s">
        <v>19</v>
      </c>
      <c r="I666" s="1" t="s">
        <v>20</v>
      </c>
      <c r="J666" s="1" t="s">
        <v>3096</v>
      </c>
      <c r="K666" s="1" t="s">
        <v>22</v>
      </c>
      <c r="L666" s="1" t="str">
        <f>HYPERLINK("https://files.afu.se/Downloads/Transcripts/0%20-%20Government/USA%20-%20NASA%20Kennedy/2017 04 14 - NASA's Kennedy Space Center - Inside KSC! for April 14, 2017_HpQXV7gXjYU - transcript (automated).pdf","Transcript Link")</f>
        <v>Transcript Link</v>
      </c>
      <c r="M666" s="2" t="str">
        <f>HYPERLINK("https://files.afu.se/Downloads/Transcripts/0%20-%20Government/USA%20-%20NASA%20Kennedy/2017 04 14 - NASA's Kennedy Space Center - Inside KSC! for April 14, 2017_HpQXV7gXjYU - transcript (automated).pdf","Transcript Link")</f>
        <v>Transcript Link</v>
      </c>
    </row>
    <row r="667" ht="180" spans="1:13">
      <c r="A667" s="1" t="s">
        <v>3097</v>
      </c>
      <c r="B667" s="1" t="s">
        <v>13</v>
      </c>
      <c r="C667" s="4" t="s">
        <v>3098</v>
      </c>
      <c r="D667" s="1" t="s">
        <v>3099</v>
      </c>
      <c r="E667" s="1" t="s">
        <v>3100</v>
      </c>
      <c r="F667" s="4" t="s">
        <v>17</v>
      </c>
      <c r="G667" s="1" t="s">
        <v>18</v>
      </c>
      <c r="H667" s="1" t="s">
        <v>19</v>
      </c>
      <c r="I667" s="1" t="s">
        <v>20</v>
      </c>
      <c r="J667" s="1" t="s">
        <v>3101</v>
      </c>
      <c r="K667" s="1" t="s">
        <v>22</v>
      </c>
      <c r="L667" s="1" t="str">
        <f>HYPERLINK("https://files.afu.se/Downloads/Transcripts/0%20-%20Government/USA%20-%20NASA%20Kennedy/2017 04 13 - NASA's Kennedy Space Center - What Does A Cubesat Do _BLJBVkLVGHE - transcript (automated).pdf","Transcript Link")</f>
        <v>Transcript Link</v>
      </c>
      <c r="M667" s="2" t="str">
        <f>HYPERLINK("https://files.afu.se/Downloads/Transcripts/0%20-%20Government/USA%20-%20NASA%20Kennedy/2017 04 13 - NASA's Kennedy Space Center - What Does A Cubesat Do _BLJBVkLVGHE - transcript (automated).pdf","Transcript Link")</f>
        <v>Transcript Link</v>
      </c>
    </row>
    <row r="668" ht="180" spans="1:13">
      <c r="A668" s="1" t="s">
        <v>3097</v>
      </c>
      <c r="B668" s="1" t="s">
        <v>13</v>
      </c>
      <c r="C668" s="4" t="s">
        <v>3102</v>
      </c>
      <c r="D668" s="1" t="s">
        <v>3103</v>
      </c>
      <c r="E668" s="1" t="s">
        <v>3104</v>
      </c>
      <c r="F668" s="4" t="s">
        <v>17</v>
      </c>
      <c r="G668" s="1" t="s">
        <v>18</v>
      </c>
      <c r="H668" s="1" t="s">
        <v>19</v>
      </c>
      <c r="I668" s="1" t="s">
        <v>20</v>
      </c>
      <c r="J668" s="1" t="s">
        <v>3105</v>
      </c>
      <c r="K668" s="1" t="s">
        <v>22</v>
      </c>
      <c r="L668" s="1" t="str">
        <f>HYPERLINK("https://files.afu.se/Downloads/Transcripts/0%20-%20Government/USA%20-%20NASA%20Kennedy/2017 04 13 - NASA's Kennedy Space Center - How Do CubeSats Get Into Orbit _pnRdIyIWI0k - transcript (automated).pdf","Transcript Link")</f>
        <v>Transcript Link</v>
      </c>
      <c r="M668" s="2" t="str">
        <f>HYPERLINK("https://files.afu.se/Downloads/Transcripts/0%20-%20Government/USA%20-%20NASA%20Kennedy/2017 04 13 - NASA's Kennedy Space Center - How Do CubeSats Get Into Orbit _pnRdIyIWI0k - transcript (automated).pdf","Transcript Link")</f>
        <v>Transcript Link</v>
      </c>
    </row>
    <row r="669" ht="180" spans="1:13">
      <c r="A669" s="1" t="s">
        <v>3097</v>
      </c>
      <c r="B669" s="1" t="s">
        <v>13</v>
      </c>
      <c r="C669" s="4" t="s">
        <v>3106</v>
      </c>
      <c r="D669" s="1" t="s">
        <v>3107</v>
      </c>
      <c r="E669" s="1" t="s">
        <v>3108</v>
      </c>
      <c r="F669" s="4" t="s">
        <v>17</v>
      </c>
      <c r="G669" s="1" t="s">
        <v>18</v>
      </c>
      <c r="H669" s="1" t="s">
        <v>19</v>
      </c>
      <c r="I669" s="1" t="s">
        <v>20</v>
      </c>
      <c r="J669" s="1" t="s">
        <v>3109</v>
      </c>
      <c r="K669" s="1" t="s">
        <v>22</v>
      </c>
      <c r="L669" s="1" t="str">
        <f>HYPERLINK("https://files.afu.se/Downloads/Transcripts/0%20-%20Government/USA%20-%20NASA%20Kennedy/2017 04 13 - NASA's Kennedy Space Center - What Is A CubeSat _HZMiJ_Q47qk - transcript (automated).pdf","Transcript Link")</f>
        <v>Transcript Link</v>
      </c>
      <c r="M669" s="2" t="str">
        <f>HYPERLINK("https://files.afu.se/Downloads/Transcripts/0%20-%20Government/USA%20-%20NASA%20Kennedy/2017 04 13 - NASA's Kennedy Space Center - What Is A CubeSat _HZMiJ_Q47qk - transcript (automated).pdf","Transcript Link")</f>
        <v>Transcript Link</v>
      </c>
    </row>
    <row r="670" ht="180" spans="1:13">
      <c r="A670" s="1" t="s">
        <v>3097</v>
      </c>
      <c r="B670" s="1" t="s">
        <v>13</v>
      </c>
      <c r="C670" s="4" t="s">
        <v>3110</v>
      </c>
      <c r="D670" s="1" t="s">
        <v>3111</v>
      </c>
      <c r="E670" s="1" t="s">
        <v>3112</v>
      </c>
      <c r="F670" s="4" t="s">
        <v>17</v>
      </c>
      <c r="G670" s="1" t="s">
        <v>18</v>
      </c>
      <c r="H670" s="1" t="s">
        <v>19</v>
      </c>
      <c r="I670" s="1" t="s">
        <v>20</v>
      </c>
      <c r="J670" s="1" t="s">
        <v>3113</v>
      </c>
      <c r="K670" s="1" t="s">
        <v>22</v>
      </c>
      <c r="L670" s="1" t="str">
        <f>HYPERLINK("https://files.afu.se/Downloads/Transcripts/0%20-%20Government/USA%20-%20NASA%20Kennedy/2017 04 13 - NASA's Kennedy Space Center - Orbital ATK Cygnus Cargo Module Ready for Delivery to International Space Station_QEwLE3An32Q - transcript (automated).pdf","Transcript Link")</f>
        <v>Transcript Link</v>
      </c>
      <c r="M670" s="2" t="str">
        <f>HYPERLINK("https://files.afu.se/Downloads/Transcripts/0%20-%20Government/USA%20-%20NASA%20Kennedy/2017 04 13 - NASA's Kennedy Space Center - Orbital ATK Cygnus Cargo Module Ready for Delivery to International Space Station_QEwLE3An32Q - transcript (automated).pdf","Transcript Link")</f>
        <v>Transcript Link</v>
      </c>
    </row>
    <row r="671" ht="180" spans="1:13">
      <c r="A671" s="1" t="s">
        <v>3114</v>
      </c>
      <c r="B671" s="1" t="s">
        <v>13</v>
      </c>
      <c r="C671" s="4" t="s">
        <v>3115</v>
      </c>
      <c r="D671" s="1" t="s">
        <v>3116</v>
      </c>
      <c r="E671" s="1" t="s">
        <v>3117</v>
      </c>
      <c r="F671" s="4" t="s">
        <v>17</v>
      </c>
      <c r="G671" s="1" t="s">
        <v>18</v>
      </c>
      <c r="H671" s="1" t="s">
        <v>19</v>
      </c>
      <c r="I671" s="1" t="s">
        <v>20</v>
      </c>
      <c r="J671" s="1" t="s">
        <v>3118</v>
      </c>
      <c r="K671" s="1" t="s">
        <v>22</v>
      </c>
      <c r="L671" s="1" t="str">
        <f>HYPERLINK("https://files.afu.se/Downloads/Transcripts/0%20-%20Government/USA%20-%20NASA%20Kennedy/2017 04 07 - NASA's Kennedy Space Center - Inside KSC! for April 7, 2017_TY_qZ0jc5Mw - transcript (automated).pdf","Transcript Link")</f>
        <v>Transcript Link</v>
      </c>
      <c r="M671" s="2" t="str">
        <f>HYPERLINK("https://files.afu.se/Downloads/Transcripts/0%20-%20Government/USA%20-%20NASA%20Kennedy/2017 04 07 - NASA's Kennedy Space Center - Inside KSC! for April 7, 2017_TY_qZ0jc5Mw - transcript (automated).pdf","Transcript Link")</f>
        <v>Transcript Link</v>
      </c>
    </row>
    <row r="672" ht="180" spans="1:13">
      <c r="A672" s="1" t="s">
        <v>3119</v>
      </c>
      <c r="B672" s="1" t="s">
        <v>13</v>
      </c>
      <c r="C672" s="4" t="s">
        <v>3120</v>
      </c>
      <c r="D672" s="1" t="s">
        <v>3121</v>
      </c>
      <c r="E672" s="1" t="s">
        <v>3122</v>
      </c>
      <c r="F672" s="4" t="s">
        <v>17</v>
      </c>
      <c r="G672" s="1" t="s">
        <v>18</v>
      </c>
      <c r="H672" s="1" t="s">
        <v>19</v>
      </c>
      <c r="I672" s="1" t="s">
        <v>20</v>
      </c>
      <c r="J672" s="1" t="s">
        <v>3123</v>
      </c>
      <c r="K672" s="1" t="s">
        <v>22</v>
      </c>
      <c r="L672" s="1" t="str">
        <f>HYPERLINK("https://files.afu.se/Downloads/Transcripts/0%20-%20Government/USA%20-%20NASA%20Kennedy/2017 03 31 - NASA's Kennedy Space Center - Inside KSC! for March 31, 2017_gAMANsAqU4I - transcript (automated).pdf","Transcript Link")</f>
        <v>Transcript Link</v>
      </c>
      <c r="M672" s="2" t="str">
        <f>HYPERLINK("https://files.afu.se/Downloads/Transcripts/0%20-%20Government/USA%20-%20NASA%20Kennedy/2017 03 31 - NASA's Kennedy Space Center - Inside KSC! for March 31, 2017_gAMANsAqU4I - transcript (automated).pdf","Transcript Link")</f>
        <v>Transcript Link</v>
      </c>
    </row>
    <row r="673" ht="180" spans="1:13">
      <c r="A673" s="1" t="s">
        <v>3124</v>
      </c>
      <c r="B673" s="1" t="s">
        <v>13</v>
      </c>
      <c r="C673" s="4" t="s">
        <v>3125</v>
      </c>
      <c r="D673" s="1" t="s">
        <v>3126</v>
      </c>
      <c r="E673" s="1" t="s">
        <v>3127</v>
      </c>
      <c r="F673" s="4" t="s">
        <v>17</v>
      </c>
      <c r="G673" s="1" t="s">
        <v>18</v>
      </c>
      <c r="H673" s="1" t="s">
        <v>19</v>
      </c>
      <c r="I673" s="1" t="s">
        <v>20</v>
      </c>
      <c r="J673" s="1" t="s">
        <v>3128</v>
      </c>
      <c r="K673" s="1" t="s">
        <v>22</v>
      </c>
      <c r="L673" s="1" t="str">
        <f>HYPERLINK("https://files.afu.se/Downloads/Transcripts/0%20-%20Government/USA%20-%20NASA%20Kennedy/2017 03 24 - NASA's Kennedy Space Center - Inside KSC! for March 24, 2017_UPU7dVe-3fU - transcript (automated).pdf","Transcript Link")</f>
        <v>Transcript Link</v>
      </c>
      <c r="M673" s="2" t="str">
        <f>HYPERLINK("https://files.afu.se/Downloads/Transcripts/0%20-%20Government/USA%20-%20NASA%20Kennedy/2017 03 24 - NASA's Kennedy Space Center - Inside KSC! for March 24, 2017_UPU7dVe-3fU - transcript (automated).pdf","Transcript Link")</f>
        <v>Transcript Link</v>
      </c>
    </row>
    <row r="674" ht="180" spans="1:13">
      <c r="A674" s="1" t="s">
        <v>3129</v>
      </c>
      <c r="B674" s="1" t="s">
        <v>13</v>
      </c>
      <c r="C674" s="4" t="s">
        <v>3130</v>
      </c>
      <c r="D674" s="1" t="s">
        <v>3131</v>
      </c>
      <c r="E674" s="1" t="s">
        <v>3132</v>
      </c>
      <c r="F674" s="4" t="s">
        <v>17</v>
      </c>
      <c r="G674" s="1" t="s">
        <v>18</v>
      </c>
      <c r="H674" s="1" t="s">
        <v>19</v>
      </c>
      <c r="I674" s="1" t="s">
        <v>20</v>
      </c>
      <c r="J674" s="1" t="s">
        <v>3133</v>
      </c>
      <c r="K674" s="1" t="s">
        <v>22</v>
      </c>
      <c r="L674" s="1" t="str">
        <f>HYPERLINK("https://files.afu.se/Downloads/Transcripts/0%20-%20Government/USA%20-%20NASA%20Kennedy/2017 03 17 - NASA's Kennedy Space Center - Inside KSC! para el 17 de Marzo de 2017_1KWi3MLvbZ8 - transcript (automated).pdf","Transcript Link")</f>
        <v>Transcript Link</v>
      </c>
      <c r="M674" s="2" t="str">
        <f>HYPERLINK("https://files.afu.se/Downloads/Transcripts/0%20-%20Government/USA%20-%20NASA%20Kennedy/2017 03 17 - NASA's Kennedy Space Center - Inside KSC! para el 17 de Marzo de 2017_1KWi3MLvbZ8 - transcript (automated).pdf","Transcript Link")</f>
        <v>Transcript Link</v>
      </c>
    </row>
    <row r="675" ht="180" spans="1:13">
      <c r="A675" s="1" t="s">
        <v>3129</v>
      </c>
      <c r="B675" s="1" t="s">
        <v>13</v>
      </c>
      <c r="C675" s="4" t="s">
        <v>3134</v>
      </c>
      <c r="D675" s="1" t="s">
        <v>3135</v>
      </c>
      <c r="E675" s="1" t="s">
        <v>3136</v>
      </c>
      <c r="F675" s="4" t="s">
        <v>17</v>
      </c>
      <c r="G675" s="1" t="s">
        <v>18</v>
      </c>
      <c r="H675" s="1" t="s">
        <v>19</v>
      </c>
      <c r="I675" s="1" t="s">
        <v>20</v>
      </c>
      <c r="J675" s="1" t="s">
        <v>3137</v>
      </c>
      <c r="K675" s="1" t="s">
        <v>22</v>
      </c>
      <c r="L675" s="1" t="str">
        <f>HYPERLINK("https://files.afu.se/Downloads/Transcripts/0%20-%20Government/USA%20-%20NASA%20Kennedy/2017 03 17 - NASA's Kennedy Space Center - Inside KSC! for March 17, 2017_4SSZTpxrEOA - transcript (automated).pdf","Transcript Link")</f>
        <v>Transcript Link</v>
      </c>
      <c r="M675" s="2" t="str">
        <f>HYPERLINK("https://files.afu.se/Downloads/Transcripts/0%20-%20Government/USA%20-%20NASA%20Kennedy/2017 03 17 - NASA's Kennedy Space Center - Inside KSC! for March 17, 2017_4SSZTpxrEOA - transcript (automated).pdf","Transcript Link")</f>
        <v>Transcript Link</v>
      </c>
    </row>
    <row r="676" ht="180" spans="1:13">
      <c r="A676" s="1" t="s">
        <v>3138</v>
      </c>
      <c r="B676" s="1" t="s">
        <v>13</v>
      </c>
      <c r="C676" s="4" t="s">
        <v>3139</v>
      </c>
      <c r="D676" s="1" t="s">
        <v>3140</v>
      </c>
      <c r="E676" s="1" t="s">
        <v>3141</v>
      </c>
      <c r="F676" s="4" t="s">
        <v>17</v>
      </c>
      <c r="G676" s="1" t="s">
        <v>18</v>
      </c>
      <c r="H676" s="1" t="s">
        <v>19</v>
      </c>
      <c r="I676" s="1" t="s">
        <v>20</v>
      </c>
      <c r="J676" s="1" t="s">
        <v>3142</v>
      </c>
      <c r="K676" s="1" t="s">
        <v>22</v>
      </c>
      <c r="L676" s="1" t="str">
        <f>HYPERLINK("https://files.afu.se/Downloads/Transcripts/0%20-%20Government/USA%20-%20NASA%20Kennedy/2017 03 10 - NASA's Kennedy Space Center - Parachute Campaign Tests Designs to Provide Astronauts a Soft Landing_sJzpIZV0Kcw - transcript (automated).pdf","Transcript Link")</f>
        <v>Transcript Link</v>
      </c>
      <c r="M676" s="2" t="str">
        <f>HYPERLINK("https://files.afu.se/Downloads/Transcripts/0%20-%20Government/USA%20-%20NASA%20Kennedy/2017 03 10 - NASA's Kennedy Space Center - Parachute Campaign Tests Designs to Provide Astronauts a Soft Landing_sJzpIZV0Kcw - transcript (automated).pdf","Transcript Link")</f>
        <v>Transcript Link</v>
      </c>
    </row>
    <row r="677" ht="180" spans="1:13">
      <c r="A677" s="1" t="s">
        <v>3138</v>
      </c>
      <c r="B677" s="1" t="s">
        <v>13</v>
      </c>
      <c r="C677" s="4" t="s">
        <v>3143</v>
      </c>
      <c r="D677" s="1" t="s">
        <v>3144</v>
      </c>
      <c r="E677" s="1" t="s">
        <v>3145</v>
      </c>
      <c r="F677" s="4" t="s">
        <v>17</v>
      </c>
      <c r="G677" s="1" t="s">
        <v>18</v>
      </c>
      <c r="H677" s="1" t="s">
        <v>19</v>
      </c>
      <c r="I677" s="1" t="s">
        <v>20</v>
      </c>
      <c r="J677" s="1" t="s">
        <v>3146</v>
      </c>
      <c r="K677" s="1" t="s">
        <v>22</v>
      </c>
      <c r="L677" s="1" t="str">
        <f>HYPERLINK("https://files.afu.se/Downloads/Transcripts/0%20-%20Government/USA%20-%20NASA%20Kennedy/2017 03 10 - NASA's Kennedy Space Center - Inside KSC! for March 10, 2017_VJlNJxc1lTY - transcript (automated).pdf","Transcript Link")</f>
        <v>Transcript Link</v>
      </c>
      <c r="M677" s="2" t="str">
        <f>HYPERLINK("https://files.afu.se/Downloads/Transcripts/0%20-%20Government/USA%20-%20NASA%20Kennedy/2017 03 10 - NASA's Kennedy Space Center - Inside KSC! for March 10, 2017_VJlNJxc1lTY - transcript (automated).pdf","Transcript Link")</f>
        <v>Transcript Link</v>
      </c>
    </row>
    <row r="678" ht="180" spans="1:13">
      <c r="A678" s="1" t="s">
        <v>3147</v>
      </c>
      <c r="B678" s="1" t="s">
        <v>13</v>
      </c>
      <c r="C678" s="4" t="s">
        <v>3148</v>
      </c>
      <c r="D678" s="1" t="s">
        <v>3149</v>
      </c>
      <c r="E678" s="1" t="s">
        <v>3150</v>
      </c>
      <c r="F678" s="4" t="s">
        <v>17</v>
      </c>
      <c r="G678" s="1" t="s">
        <v>18</v>
      </c>
      <c r="H678" s="1" t="s">
        <v>19</v>
      </c>
      <c r="I678" s="1" t="s">
        <v>20</v>
      </c>
      <c r="J678" s="1" t="s">
        <v>3151</v>
      </c>
      <c r="K678" s="1" t="s">
        <v>22</v>
      </c>
      <c r="L678" s="1" t="str">
        <f>HYPERLINK("https://files.afu.se/Downloads/Transcripts/0%20-%20Government/USA%20-%20NASA%20Kennedy/2017 03 03 - NASA's Kennedy Space Center - Inside KSC! for March 3, 2017_xfBMfrLjZVs - transcript (automated).pdf","Transcript Link")</f>
        <v>Transcript Link</v>
      </c>
      <c r="M678" s="2" t="str">
        <f>HYPERLINK("https://files.afu.se/Downloads/Transcripts/0%20-%20Government/USA%20-%20NASA%20Kennedy/2017 03 03 - NASA's Kennedy Space Center - Inside KSC! for March 3, 2017_xfBMfrLjZVs - transcript (automated).pdf","Transcript Link")</f>
        <v>Transcript Link</v>
      </c>
    </row>
    <row r="679" ht="180" spans="1:13">
      <c r="A679" s="1" t="s">
        <v>3152</v>
      </c>
      <c r="B679" s="1" t="s">
        <v>13</v>
      </c>
      <c r="C679" s="4" t="s">
        <v>3153</v>
      </c>
      <c r="D679" s="1" t="s">
        <v>3154</v>
      </c>
      <c r="E679" s="1" t="s">
        <v>3155</v>
      </c>
      <c r="F679" s="4" t="s">
        <v>17</v>
      </c>
      <c r="G679" s="1" t="s">
        <v>18</v>
      </c>
      <c r="H679" s="1" t="s">
        <v>19</v>
      </c>
      <c r="I679" s="1" t="s">
        <v>20</v>
      </c>
      <c r="J679" s="1" t="s">
        <v>3156</v>
      </c>
      <c r="K679" s="1" t="s">
        <v>22</v>
      </c>
      <c r="L679" s="1" t="str">
        <f>HYPERLINK("https://files.afu.se/Downloads/Transcripts/0%20-%20Government/USA%20-%20NASA%20Kennedy/2017 03 02 - NASA's Kennedy Space Center - Scientists Prepare NASA's Advanced Plant Habitat Science Carrier_zrz16s2ajDE - transcript (automated).pdf","Transcript Link")</f>
        <v>Transcript Link</v>
      </c>
      <c r="M679" s="2" t="str">
        <f>HYPERLINK("https://files.afu.se/Downloads/Transcripts/0%20-%20Government/USA%20-%20NASA%20Kennedy/2017 03 02 - NASA's Kennedy Space Center - Scientists Prepare NASA's Advanced Plant Habitat Science Carrier_zrz16s2ajDE - transcript (automated).pdf","Transcript Link")</f>
        <v>Transcript Link</v>
      </c>
    </row>
    <row r="680" ht="180" spans="1:13">
      <c r="A680" s="1" t="s">
        <v>3157</v>
      </c>
      <c r="B680" s="1" t="s">
        <v>13</v>
      </c>
      <c r="C680" s="4" t="s">
        <v>3158</v>
      </c>
      <c r="D680" s="1" t="s">
        <v>3159</v>
      </c>
      <c r="E680" s="1" t="s">
        <v>3160</v>
      </c>
      <c r="F680" s="4" t="s">
        <v>17</v>
      </c>
      <c r="G680" s="1" t="s">
        <v>18</v>
      </c>
      <c r="H680" s="1" t="s">
        <v>19</v>
      </c>
      <c r="I680" s="1" t="s">
        <v>20</v>
      </c>
      <c r="J680" s="1" t="s">
        <v>3161</v>
      </c>
      <c r="K680" s="1" t="s">
        <v>22</v>
      </c>
      <c r="L680" s="1" t="str">
        <f>HYPERLINK("https://files.afu.se/Downloads/Transcripts/0%20-%20Government/USA%20-%20NASA%20Kennedy/2017 02 24 - NASA's Kennedy Space Center - Inside KSC! for Feb. 24, 2017_3e0-pS19PXM - transcript (automated).pdf","Transcript Link")</f>
        <v>Transcript Link</v>
      </c>
      <c r="M680" s="2" t="str">
        <f>HYPERLINK("https://files.afu.se/Downloads/Transcripts/0%20-%20Government/USA%20-%20NASA%20Kennedy/2017 02 24 - NASA's Kennedy Space Center - Inside KSC! for Feb. 24, 2017_3e0-pS19PXM - transcript (automated).pdf","Transcript Link")</f>
        <v>Transcript Link</v>
      </c>
    </row>
    <row r="681" ht="180" spans="1:13">
      <c r="A681" s="1" t="s">
        <v>3162</v>
      </c>
      <c r="B681" s="1" t="s">
        <v>13</v>
      </c>
      <c r="C681" s="4" t="s">
        <v>3163</v>
      </c>
      <c r="D681" s="1" t="s">
        <v>3164</v>
      </c>
      <c r="E681" s="1" t="s">
        <v>3165</v>
      </c>
      <c r="F681" s="4" t="s">
        <v>17</v>
      </c>
      <c r="G681" s="1" t="s">
        <v>18</v>
      </c>
      <c r="H681" s="1" t="s">
        <v>19</v>
      </c>
      <c r="I681" s="1" t="s">
        <v>20</v>
      </c>
      <c r="J681" s="1" t="s">
        <v>3166</v>
      </c>
      <c r="K681" s="1" t="s">
        <v>22</v>
      </c>
      <c r="L681" s="1" t="str">
        <f>HYPERLINK("https://files.afu.se/Downloads/Transcripts/0%20-%20Government/USA%20-%20NASA%20Kennedy/2017 02 22 - NASA's Kennedy Space Center - Liftoff in UHD of SpaceX Falcon 9 on CRS-10 Mission_vgYBGSEDNHk - transcript (automated).pdf","Transcript Link")</f>
        <v>Transcript Link</v>
      </c>
      <c r="M681" s="2" t="str">
        <f>HYPERLINK("https://files.afu.se/Downloads/Transcripts/0%20-%20Government/USA%20-%20NASA%20Kennedy/2017 02 22 - NASA's Kennedy Space Center - Liftoff in UHD of SpaceX Falcon 9 on CRS-10 Mission_vgYBGSEDNHk - transcript (automated).pdf","Transcript Link")</f>
        <v>Transcript Link</v>
      </c>
    </row>
    <row r="682" ht="180" spans="1:13">
      <c r="A682" s="1" t="s">
        <v>3167</v>
      </c>
      <c r="B682" s="1" t="s">
        <v>13</v>
      </c>
      <c r="C682" s="4" t="s">
        <v>3168</v>
      </c>
      <c r="D682" s="1" t="s">
        <v>3169</v>
      </c>
      <c r="E682" s="1" t="s">
        <v>3170</v>
      </c>
      <c r="F682" s="4" t="s">
        <v>17</v>
      </c>
      <c r="G682" s="1" t="s">
        <v>18</v>
      </c>
      <c r="H682" s="1" t="s">
        <v>19</v>
      </c>
      <c r="I682" s="1" t="s">
        <v>20</v>
      </c>
      <c r="J682" s="1" t="s">
        <v>3171</v>
      </c>
      <c r="K682" s="1" t="s">
        <v>22</v>
      </c>
      <c r="L682" s="1" t="str">
        <f>HYPERLINK("https://files.afu.se/Downloads/Transcripts/0%20-%20Government/USA%20-%20NASA%20Kennedy/2017 02 19 - NASA's Kennedy Space Center - Liftoff of SpaceX CRS-10_mzEloqzys3Y - transcript (automated).pdf","Transcript Link")</f>
        <v>Transcript Link</v>
      </c>
      <c r="M682" s="2" t="str">
        <f>HYPERLINK("https://files.afu.se/Downloads/Transcripts/0%20-%20Government/USA%20-%20NASA%20Kennedy/2017 02 19 - NASA's Kennedy Space Center - Liftoff of SpaceX CRS-10_mzEloqzys3Y - transcript (automated).pdf","Transcript Link")</f>
        <v>Transcript Link</v>
      </c>
    </row>
    <row r="683" ht="180" spans="1:13">
      <c r="A683" s="1" t="s">
        <v>3172</v>
      </c>
      <c r="B683" s="1" t="s">
        <v>13</v>
      </c>
      <c r="C683" s="4" t="s">
        <v>3173</v>
      </c>
      <c r="D683" s="1" t="s">
        <v>3174</v>
      </c>
      <c r="E683" s="1" t="s">
        <v>3175</v>
      </c>
      <c r="F683" s="4" t="s">
        <v>17</v>
      </c>
      <c r="G683" s="1" t="s">
        <v>18</v>
      </c>
      <c r="H683" s="1" t="s">
        <v>19</v>
      </c>
      <c r="I683" s="1" t="s">
        <v>20</v>
      </c>
      <c r="J683" s="1" t="s">
        <v>3176</v>
      </c>
      <c r="K683" s="1" t="s">
        <v>22</v>
      </c>
      <c r="L683" s="1" t="str">
        <f>HYPERLINK("https://files.afu.se/Downloads/Transcripts/0%20-%20Government/USA%20-%20NASA%20Kennedy/2017 02 18 - NASA's Kennedy Space Center - The Launch Complex 39A Legacy_eS3sNVT7IKo - transcript (automated).pdf","Transcript Link")</f>
        <v>Transcript Link</v>
      </c>
      <c r="M683" s="2" t="str">
        <f>HYPERLINK("https://files.afu.se/Downloads/Transcripts/0%20-%20Government/USA%20-%20NASA%20Kennedy/2017 02 18 - NASA's Kennedy Space Center - The Launch Complex 39A Legacy_eS3sNVT7IKo - transcript (automated).pdf","Transcript Link")</f>
        <v>Transcript Link</v>
      </c>
    </row>
    <row r="684" ht="180" spans="1:13">
      <c r="A684" s="1" t="s">
        <v>3172</v>
      </c>
      <c r="B684" s="1" t="s">
        <v>13</v>
      </c>
      <c r="C684" s="4" t="s">
        <v>3177</v>
      </c>
      <c r="D684" s="1" t="s">
        <v>3178</v>
      </c>
      <c r="E684" s="1" t="s">
        <v>3179</v>
      </c>
      <c r="F684" s="4" t="s">
        <v>17</v>
      </c>
      <c r="G684" s="1" t="s">
        <v>18</v>
      </c>
      <c r="H684" s="1" t="s">
        <v>19</v>
      </c>
      <c r="I684" s="1" t="s">
        <v>20</v>
      </c>
      <c r="J684" s="1" t="s">
        <v>3180</v>
      </c>
      <c r="K684" s="1" t="s">
        <v>22</v>
      </c>
      <c r="L684" s="1" t="str">
        <f>HYPERLINK("https://files.afu.se/Downloads/Transcripts/0%20-%20Government/USA%20-%20NASA%20Kennedy/2017 02 18 - NASA's Kennedy Space Center - CRS-10 Launch Marks Return of LC-39A_mMu3SG8_Zjc - transcript (automated).pdf","Transcript Link")</f>
        <v>Transcript Link</v>
      </c>
      <c r="M684" s="2" t="str">
        <f>HYPERLINK("https://files.afu.se/Downloads/Transcripts/0%20-%20Government/USA%20-%20NASA%20Kennedy/2017 02 18 - NASA's Kennedy Space Center - CRS-10 Launch Marks Return of LC-39A_mMu3SG8_Zjc - transcript (automated).pdf","Transcript Link")</f>
        <v>Transcript Link</v>
      </c>
    </row>
    <row r="685" ht="180" spans="1:13">
      <c r="A685" s="1" t="s">
        <v>3181</v>
      </c>
      <c r="B685" s="1" t="s">
        <v>13</v>
      </c>
      <c r="C685" s="4" t="s">
        <v>3182</v>
      </c>
      <c r="D685" s="1" t="s">
        <v>3183</v>
      </c>
      <c r="E685" s="1" t="s">
        <v>3184</v>
      </c>
      <c r="F685" s="4" t="s">
        <v>17</v>
      </c>
      <c r="G685" s="1" t="s">
        <v>18</v>
      </c>
      <c r="H685" s="1" t="s">
        <v>19</v>
      </c>
      <c r="I685" s="1" t="s">
        <v>20</v>
      </c>
      <c r="J685" s="1" t="s">
        <v>3185</v>
      </c>
      <c r="K685" s="1" t="s">
        <v>22</v>
      </c>
      <c r="L685" s="1" t="str">
        <f>HYPERLINK("https://files.afu.se/Downloads/Transcripts/0%20-%20Government/USA%20-%20NASA%20Kennedy/2017 02 17 - NASA's Kennedy Space Center - Inside KSC! for Feb. 17, 2017_7JCEyyDmiPw - transcript (automated).pdf","Transcript Link")</f>
        <v>Transcript Link</v>
      </c>
      <c r="M685" s="2" t="str">
        <f>HYPERLINK("https://files.afu.se/Downloads/Transcripts/0%20-%20Government/USA%20-%20NASA%20Kennedy/2017 02 17 - NASA's Kennedy Space Center - Inside KSC! for Feb. 17, 2017_7JCEyyDmiPw - transcript (automated).pdf","Transcript Link")</f>
        <v>Transcript Link</v>
      </c>
    </row>
    <row r="686" ht="180" spans="1:13">
      <c r="A686" s="1" t="s">
        <v>3181</v>
      </c>
      <c r="B686" s="1" t="s">
        <v>13</v>
      </c>
      <c r="C686" s="4" t="s">
        <v>3186</v>
      </c>
      <c r="D686" s="1" t="s">
        <v>3187</v>
      </c>
      <c r="E686" s="1" t="s">
        <v>3188</v>
      </c>
      <c r="F686" s="4" t="s">
        <v>17</v>
      </c>
      <c r="G686" s="1" t="s">
        <v>18</v>
      </c>
      <c r="H686" s="1" t="s">
        <v>19</v>
      </c>
      <c r="I686" s="1" t="s">
        <v>20</v>
      </c>
      <c r="J686" s="1" t="s">
        <v>3189</v>
      </c>
      <c r="K686" s="1" t="s">
        <v>22</v>
      </c>
      <c r="L686" s="1">
        <v>0</v>
      </c>
      <c r="M686" s="2">
        <v>0</v>
      </c>
    </row>
    <row r="687" ht="180" spans="1:13">
      <c r="A687" s="1" t="s">
        <v>3190</v>
      </c>
      <c r="B687" s="1" t="s">
        <v>13</v>
      </c>
      <c r="C687" s="4" t="s">
        <v>3191</v>
      </c>
      <c r="D687" s="1" t="s">
        <v>3192</v>
      </c>
      <c r="E687" s="1" t="s">
        <v>3193</v>
      </c>
      <c r="F687" s="4" t="s">
        <v>17</v>
      </c>
      <c r="G687" s="1" t="s">
        <v>18</v>
      </c>
      <c r="H687" s="1" t="s">
        <v>19</v>
      </c>
      <c r="I687" s="1" t="s">
        <v>20</v>
      </c>
      <c r="J687" s="1" t="s">
        <v>3194</v>
      </c>
      <c r="K687" s="1" t="s">
        <v>22</v>
      </c>
      <c r="L687" s="1" t="str">
        <f>HYPERLINK("https://files.afu.se/Downloads/Transcripts/0%20-%20Government/USA%20-%20NASA%20Kennedy/2017 02 10 - NASA's Kennedy Space Center - Inside KSC! for Feb. 10, 2017_rbfVMiNMTFE - transcript (automated).pdf","Transcript Link")</f>
        <v>Transcript Link</v>
      </c>
      <c r="M687" s="2" t="str">
        <f>HYPERLINK("https://files.afu.se/Downloads/Transcripts/0%20-%20Government/USA%20-%20NASA%20Kennedy/2017 02 10 - NASA's Kennedy Space Center - Inside KSC! for Feb. 10, 2017_rbfVMiNMTFE - transcript (automated).pdf","Transcript Link")</f>
        <v>Transcript Link</v>
      </c>
    </row>
    <row r="688" ht="180" spans="1:13">
      <c r="A688" s="1" t="s">
        <v>3195</v>
      </c>
      <c r="B688" s="1" t="s">
        <v>13</v>
      </c>
      <c r="C688" s="4" t="s">
        <v>3196</v>
      </c>
      <c r="D688" s="1" t="s">
        <v>3197</v>
      </c>
      <c r="E688" s="1" t="s">
        <v>3198</v>
      </c>
      <c r="F688" s="4" t="s">
        <v>17</v>
      </c>
      <c r="G688" s="1" t="s">
        <v>18</v>
      </c>
      <c r="H688" s="1" t="s">
        <v>19</v>
      </c>
      <c r="I688" s="1" t="s">
        <v>20</v>
      </c>
      <c r="J688" s="1" t="s">
        <v>3199</v>
      </c>
      <c r="K688" s="1" t="s">
        <v>22</v>
      </c>
      <c r="L688" s="1" t="str">
        <f>HYPERLINK("https://files.afu.se/Downloads/Transcripts/0%20-%20Government/USA%20-%20NASA%20Kennedy/2017 02 08 - NASA's Kennedy Space Center - Time Lapse of Work Platforms Installed in the Vehicle Assembly Building_IJjGUd5VG84 - transcript (automated).pdf","Transcript Link")</f>
        <v>Transcript Link</v>
      </c>
      <c r="M688" s="2" t="str">
        <f>HYPERLINK("https://files.afu.se/Downloads/Transcripts/0%20-%20Government/USA%20-%20NASA%20Kennedy/2017 02 08 - NASA's Kennedy Space Center - Time Lapse of Work Platforms Installed in the Vehicle Assembly Building_IJjGUd5VG84 - transcript (automated).pdf","Transcript Link")</f>
        <v>Transcript Link</v>
      </c>
    </row>
    <row r="689" ht="180" spans="1:13">
      <c r="A689" s="1" t="s">
        <v>3200</v>
      </c>
      <c r="B689" s="1" t="s">
        <v>13</v>
      </c>
      <c r="C689" s="4" t="s">
        <v>3201</v>
      </c>
      <c r="D689" s="1" t="s">
        <v>3202</v>
      </c>
      <c r="E689" s="1" t="s">
        <v>3203</v>
      </c>
      <c r="F689" s="4" t="s">
        <v>17</v>
      </c>
      <c r="G689" s="1" t="s">
        <v>18</v>
      </c>
      <c r="H689" s="1" t="s">
        <v>19</v>
      </c>
      <c r="I689" s="1" t="s">
        <v>20</v>
      </c>
      <c r="J689" s="1" t="s">
        <v>3204</v>
      </c>
      <c r="K689" s="1" t="s">
        <v>22</v>
      </c>
      <c r="L689" s="1" t="str">
        <f>HYPERLINK("https://files.afu.se/Downloads/Transcripts/0%20-%20Government/USA%20-%20NASA%20Kennedy/2017 02 03 - NASA's Kennedy Space Center - Inside KSC! for Feb. 3, 2017_a-DaDOWwB-Y - transcript (automated).pdf","Transcript Link")</f>
        <v>Transcript Link</v>
      </c>
      <c r="M689" s="2" t="str">
        <f>HYPERLINK("https://files.afu.se/Downloads/Transcripts/0%20-%20Government/USA%20-%20NASA%20Kennedy/2017 02 03 - NASA's Kennedy Space Center - Inside KSC! for Feb. 3, 2017_a-DaDOWwB-Y - transcript (automated).pdf","Transcript Link")</f>
        <v>Transcript Link</v>
      </c>
    </row>
    <row r="690" ht="180" spans="1:13">
      <c r="A690" s="1" t="s">
        <v>3205</v>
      </c>
      <c r="B690" s="1" t="s">
        <v>13</v>
      </c>
      <c r="C690" s="4" t="s">
        <v>3206</v>
      </c>
      <c r="D690" s="1" t="s">
        <v>3207</v>
      </c>
      <c r="E690" s="1" t="s">
        <v>3208</v>
      </c>
      <c r="F690" s="4" t="s">
        <v>17</v>
      </c>
      <c r="G690" s="1" t="s">
        <v>18</v>
      </c>
      <c r="H690" s="1" t="s">
        <v>19</v>
      </c>
      <c r="I690" s="1" t="s">
        <v>20</v>
      </c>
      <c r="J690" s="1" t="s">
        <v>3209</v>
      </c>
      <c r="K690" s="1" t="s">
        <v>22</v>
      </c>
      <c r="L690" s="1" t="str">
        <f>HYPERLINK("https://files.afu.se/Downloads/Transcripts/0%20-%20Government/USA%20-%20NASA%20Kennedy/2017 01 30 - NASA's Kennedy Space Center - Inside KSC! for Jan. 30, 2017_-Stl3hKI9Io - transcript (automated).pdf","Transcript Link")</f>
        <v>Transcript Link</v>
      </c>
      <c r="M690" s="2" t="str">
        <f>HYPERLINK("https://files.afu.se/Downloads/Transcripts/0%20-%20Government/USA%20-%20NASA%20Kennedy/2017 01 30 - NASA's Kennedy Space Center - Inside KSC! for Jan. 30, 2017_-Stl3hKI9Io - transcript (automated).pdf","Transcript Link")</f>
        <v>Transcript Link</v>
      </c>
    </row>
    <row r="691" ht="255" spans="1:13">
      <c r="A691" s="1" t="s">
        <v>3210</v>
      </c>
      <c r="B691" s="1" t="s">
        <v>13</v>
      </c>
      <c r="C691" s="4" t="s">
        <v>3211</v>
      </c>
      <c r="D691" s="1" t="s">
        <v>3212</v>
      </c>
      <c r="E691" s="1" t="s">
        <v>3213</v>
      </c>
      <c r="F691" s="4" t="s">
        <v>17</v>
      </c>
      <c r="G691" s="1" t="s">
        <v>18</v>
      </c>
      <c r="H691" s="1" t="s">
        <v>19</v>
      </c>
      <c r="I691" s="1" t="s">
        <v>20</v>
      </c>
      <c r="J691" s="1" t="s">
        <v>3214</v>
      </c>
      <c r="K691" s="1" t="s">
        <v>22</v>
      </c>
      <c r="L691" s="1" t="str">
        <f>HYPERLINK("https://files.afu.se/Downloads/Transcripts/0%20-%20Government/USA%20-%20NASA%20Kennedy/2017 01 27 - NASA's Kennedy Space Center - NASA Opens Tribute to Apollo 1 Crew_05xdq6W9kRs - transcript (automated).pdf","Transcript Link")</f>
        <v>Transcript Link</v>
      </c>
      <c r="M691" s="2" t="str">
        <f>HYPERLINK("https://files.afu.se/Downloads/Transcripts/0%20-%20Government/USA%20-%20NASA%20Kennedy/2017 01 27 - NASA's Kennedy Space Center - NASA Opens Tribute to Apollo 1 Crew_05xdq6W9kRs - transcript (automated).pdf","Transcript Link")</f>
        <v>Transcript Link</v>
      </c>
    </row>
    <row r="692" ht="180" spans="1:13">
      <c r="A692" s="1" t="s">
        <v>3215</v>
      </c>
      <c r="B692" s="1" t="s">
        <v>13</v>
      </c>
      <c r="C692" s="4" t="s">
        <v>3216</v>
      </c>
      <c r="D692" s="1" t="s">
        <v>3217</v>
      </c>
      <c r="E692" s="1" t="s">
        <v>3218</v>
      </c>
      <c r="F692" s="4" t="s">
        <v>17</v>
      </c>
      <c r="G692" s="1" t="s">
        <v>18</v>
      </c>
      <c r="H692" s="1" t="s">
        <v>19</v>
      </c>
      <c r="I692" s="1" t="s">
        <v>20</v>
      </c>
      <c r="J692" s="1" t="s">
        <v>3219</v>
      </c>
      <c r="K692" s="1" t="s">
        <v>22</v>
      </c>
      <c r="L692" s="1" t="str">
        <f>HYPERLINK("https://files.afu.se/Downloads/Transcripts/0%20-%20Government/USA%20-%20NASA%20Kennedy/2017 01 25 - NASA's Kennedy Space Center - Exploration Research and Technology Spotlight on Janine Captain_zgPXkPps59w - transcript (automated).pdf","Transcript Link")</f>
        <v>Transcript Link</v>
      </c>
      <c r="M692" s="2" t="str">
        <f>HYPERLINK("https://files.afu.se/Downloads/Transcripts/0%20-%20Government/USA%20-%20NASA%20Kennedy/2017 01 25 - NASA's Kennedy Space Center - Exploration Research and Technology Spotlight on Janine Captain_zgPXkPps59w - transcript (automated).pdf","Transcript Link")</f>
        <v>Transcript Link</v>
      </c>
    </row>
    <row r="693" ht="180" spans="1:13">
      <c r="A693" s="1" t="s">
        <v>3215</v>
      </c>
      <c r="B693" s="1" t="s">
        <v>13</v>
      </c>
      <c r="C693" s="4" t="s">
        <v>3220</v>
      </c>
      <c r="D693" s="1" t="s">
        <v>3221</v>
      </c>
      <c r="E693" s="1" t="s">
        <v>3222</v>
      </c>
      <c r="F693" s="4" t="s">
        <v>17</v>
      </c>
      <c r="G693" s="1" t="s">
        <v>18</v>
      </c>
      <c r="H693" s="1" t="s">
        <v>19</v>
      </c>
      <c r="I693" s="1" t="s">
        <v>20</v>
      </c>
      <c r="J693" s="1" t="s">
        <v>3223</v>
      </c>
      <c r="K693" s="1" t="s">
        <v>22</v>
      </c>
      <c r="L693" s="1" t="str">
        <f>HYPERLINK("https://files.afu.se/Downloads/Transcripts/0%20-%20Government/USA%20-%20NASA%20Kennedy/2017 01 25 - NASA's Kennedy Space Center - New Spacesuit Unveiled for Starliner Astronauts_lOSsx8ukYs0 - transcript (automated).pdf","Transcript Link")</f>
        <v>Transcript Link</v>
      </c>
      <c r="M693" s="2" t="str">
        <f>HYPERLINK("https://files.afu.se/Downloads/Transcripts/0%20-%20Government/USA%20-%20NASA%20Kennedy/2017 01 25 - NASA's Kennedy Space Center - New Spacesuit Unveiled for Starliner Astronauts_lOSsx8ukYs0 - transcript (automated).pdf","Transcript Link")</f>
        <v>Transcript Link</v>
      </c>
    </row>
    <row r="694" ht="180" spans="1:13">
      <c r="A694" s="1" t="s">
        <v>3224</v>
      </c>
      <c r="B694" s="1" t="s">
        <v>13</v>
      </c>
      <c r="C694" s="4" t="s">
        <v>3225</v>
      </c>
      <c r="D694" s="1" t="s">
        <v>3226</v>
      </c>
      <c r="E694" s="1" t="s">
        <v>3227</v>
      </c>
      <c r="F694" s="4" t="s">
        <v>17</v>
      </c>
      <c r="G694" s="1" t="s">
        <v>18</v>
      </c>
      <c r="H694" s="1" t="s">
        <v>19</v>
      </c>
      <c r="I694" s="1" t="s">
        <v>20</v>
      </c>
      <c r="J694" s="1" t="s">
        <v>3228</v>
      </c>
      <c r="K694" s="1" t="s">
        <v>22</v>
      </c>
      <c r="L694" s="1" t="str">
        <f>HYPERLINK("https://files.afu.se/Downloads/Transcripts/0%20-%20Government/USA%20-%20NASA%20Kennedy/2017 01 20 - NASA's Kennedy Space Center - Astronaut Peggy Whitson Shows Off Calendar on Space Station_Vcp-uR562BM - transcript (automated).pdf","Transcript Link")</f>
        <v>Transcript Link</v>
      </c>
      <c r="M694" s="2" t="str">
        <f>HYPERLINK("https://files.afu.se/Downloads/Transcripts/0%20-%20Government/USA%20-%20NASA%20Kennedy/2017 01 20 - NASA's Kennedy Space Center - Astronaut Peggy Whitson Shows Off Calendar on Space Station_Vcp-uR562BM - transcript (automated).pdf","Transcript Link")</f>
        <v>Transcript Link</v>
      </c>
    </row>
    <row r="695" ht="180" spans="1:13">
      <c r="A695" s="1" t="s">
        <v>3224</v>
      </c>
      <c r="B695" s="1" t="s">
        <v>13</v>
      </c>
      <c r="C695" s="4" t="s">
        <v>3229</v>
      </c>
      <c r="D695" s="1" t="s">
        <v>3230</v>
      </c>
      <c r="E695" s="1" t="s">
        <v>3231</v>
      </c>
      <c r="F695" s="4" t="s">
        <v>17</v>
      </c>
      <c r="G695" s="1" t="s">
        <v>18</v>
      </c>
      <c r="H695" s="1" t="s">
        <v>19</v>
      </c>
      <c r="I695" s="1" t="s">
        <v>20</v>
      </c>
      <c r="J695" s="1" t="s">
        <v>3232</v>
      </c>
      <c r="K695" s="1" t="s">
        <v>22</v>
      </c>
      <c r="L695" s="1" t="str">
        <f>HYPERLINK("https://files.afu.se/Downloads/Transcripts/0%20-%20Government/USA%20-%20NASA%20Kennedy/2017 01 20 - NASA's Kennedy Space Center - Inside KSC! for Jan. 20, 2017_lIYzjYnKLmk - transcript (automated).pdf","Transcript Link")</f>
        <v>Transcript Link</v>
      </c>
      <c r="M695" s="2" t="str">
        <f>HYPERLINK("https://files.afu.se/Downloads/Transcripts/0%20-%20Government/USA%20-%20NASA%20Kennedy/2017 01 20 - NASA's Kennedy Space Center - Inside KSC! for Jan. 20, 2017_lIYzjYnKLmk - transcript (automated).pdf","Transcript Link")</f>
        <v>Transcript Link</v>
      </c>
    </row>
    <row r="696" ht="180" spans="1:13">
      <c r="A696" s="1" t="s">
        <v>3233</v>
      </c>
      <c r="B696" s="1" t="s">
        <v>13</v>
      </c>
      <c r="C696" s="4" t="s">
        <v>3234</v>
      </c>
      <c r="D696" s="1" t="s">
        <v>3235</v>
      </c>
      <c r="E696" s="1" t="s">
        <v>3236</v>
      </c>
      <c r="F696" s="4" t="s">
        <v>17</v>
      </c>
      <c r="G696" s="1" t="s">
        <v>18</v>
      </c>
      <c r="H696" s="1" t="s">
        <v>19</v>
      </c>
      <c r="I696" s="1" t="s">
        <v>20</v>
      </c>
      <c r="J696" s="1" t="s">
        <v>3237</v>
      </c>
      <c r="K696" s="1" t="s">
        <v>22</v>
      </c>
      <c r="L696" s="1" t="str">
        <f>HYPERLINK("https://files.afu.se/Downloads/Transcripts/0%20-%20Government/USA%20-%20NASA%20Kennedy/2017 01 17 - NASA's Kennedy Space Center - Ozone Monitoring SAGE III Set to Launch on SpaceX CRS-10_VVyNQXWxH24 - transcript (automated).pdf","Transcript Link")</f>
        <v>Transcript Link</v>
      </c>
      <c r="M696" s="2" t="str">
        <f>HYPERLINK("https://files.afu.se/Downloads/Transcripts/0%20-%20Government/USA%20-%20NASA%20Kennedy/2017 01 17 - NASA's Kennedy Space Center - Ozone Monitoring SAGE III Set to Launch on SpaceX CRS-10_VVyNQXWxH24 - transcript (automated).pdf","Transcript Link")</f>
        <v>Transcript Link</v>
      </c>
    </row>
    <row r="697" ht="180" spans="1:13">
      <c r="A697" s="1" t="s">
        <v>3238</v>
      </c>
      <c r="B697" s="1" t="s">
        <v>13</v>
      </c>
      <c r="C697" s="4" t="s">
        <v>3239</v>
      </c>
      <c r="D697" s="1" t="s">
        <v>3240</v>
      </c>
      <c r="E697" s="1" t="s">
        <v>3241</v>
      </c>
      <c r="F697" s="4" t="s">
        <v>17</v>
      </c>
      <c r="G697" s="1" t="s">
        <v>18</v>
      </c>
      <c r="H697" s="1" t="s">
        <v>19</v>
      </c>
      <c r="I697" s="1" t="s">
        <v>20</v>
      </c>
      <c r="J697" s="1" t="s">
        <v>3242</v>
      </c>
      <c r="K697" s="1" t="s">
        <v>22</v>
      </c>
      <c r="L697" s="1" t="str">
        <f>HYPERLINK("https://files.afu.se/Downloads/Transcripts/0%20-%20Government/USA%20-%20NASA%20Kennedy/2017 01 13 - NASA's Kennedy Space Center - Inside KSC! for Jan. 13, 2017_Duc8FoGhInQ - transcript (automated).pdf","Transcript Link")</f>
        <v>Transcript Link</v>
      </c>
      <c r="M697" s="2" t="str">
        <f>HYPERLINK("https://files.afu.se/Downloads/Transcripts/0%20-%20Government/USA%20-%20NASA%20Kennedy/2017 01 13 - NASA's Kennedy Space Center - Inside KSC! for Jan. 13, 2017_Duc8FoGhInQ - transcript (automated).pdf","Transcript Link")</f>
        <v>Transcript Link</v>
      </c>
    </row>
    <row r="698" ht="180" spans="1:13">
      <c r="A698" s="1" t="s">
        <v>3243</v>
      </c>
      <c r="B698" s="1" t="s">
        <v>13</v>
      </c>
      <c r="C698" s="4" t="s">
        <v>3244</v>
      </c>
      <c r="D698" s="1" t="s">
        <v>3245</v>
      </c>
      <c r="E698" s="1" t="s">
        <v>3246</v>
      </c>
      <c r="F698" s="4" t="s">
        <v>17</v>
      </c>
      <c r="G698" s="1" t="s">
        <v>18</v>
      </c>
      <c r="H698" s="1" t="s">
        <v>19</v>
      </c>
      <c r="I698" s="1" t="s">
        <v>20</v>
      </c>
      <c r="J698" s="1" t="s">
        <v>3247</v>
      </c>
      <c r="K698" s="1" t="s">
        <v>22</v>
      </c>
      <c r="L698" s="1" t="str">
        <f>HYPERLINK("https://files.afu.se/Downloads/Transcripts/0%20-%20Government/USA%20-%20NASA%20Kennedy/2017 01 09 - NASA's Kennedy Space Center - 360 Degree Encapsulation &amp; Launch of OSIRIS-REx_DA6C11qtKi8 - transcript (automated).pdf","Transcript Link")</f>
        <v>Transcript Link</v>
      </c>
      <c r="M698" s="2" t="str">
        <f>HYPERLINK("https://files.afu.se/Downloads/Transcripts/0%20-%20Government/USA%20-%20NASA%20Kennedy/2017 01 09 - NASA's Kennedy Space Center - 360 Degree Encapsulation &amp; Launch of OSIRIS-REx_DA6C11qtKi8 - transcript (automated).pdf","Transcript Link")</f>
        <v>Transcript Link</v>
      </c>
    </row>
    <row r="699" ht="180" spans="1:13">
      <c r="A699" s="1" t="s">
        <v>3248</v>
      </c>
      <c r="B699" s="1" t="s">
        <v>13</v>
      </c>
      <c r="C699" s="4" t="s">
        <v>3249</v>
      </c>
      <c r="D699" s="1" t="s">
        <v>3250</v>
      </c>
      <c r="E699" s="1" t="s">
        <v>3251</v>
      </c>
      <c r="F699" s="4" t="s">
        <v>17</v>
      </c>
      <c r="G699" s="1" t="s">
        <v>18</v>
      </c>
      <c r="H699" s="1" t="s">
        <v>19</v>
      </c>
      <c r="I699" s="1" t="s">
        <v>20</v>
      </c>
      <c r="J699" s="1" t="s">
        <v>3252</v>
      </c>
      <c r="K699" s="1" t="s">
        <v>22</v>
      </c>
      <c r="L699" s="1" t="str">
        <f>HYPERLINK("https://files.afu.se/Downloads/Transcripts/0%20-%20Government/USA%20-%20NASA%20Kennedy/2017 01 06 - NASA's Kennedy Space Center - Inside KSC! for Jan. 6, 2017_P9qhLDGC3DQ - transcript (automated).pdf","Transcript Link")</f>
        <v>Transcript Link</v>
      </c>
      <c r="M699" s="2" t="str">
        <f>HYPERLINK("https://files.afu.se/Downloads/Transcripts/0%20-%20Government/USA%20-%20NASA%20Kennedy/2017 01 06 - NASA's Kennedy Space Center - Inside KSC! for Jan. 6, 2017_P9qhLDGC3DQ - transcript (automated).pdf","Transcript Link")</f>
        <v>Transcript Link</v>
      </c>
    </row>
    <row r="700" ht="180" spans="1:13">
      <c r="A700" s="1" t="s">
        <v>3253</v>
      </c>
      <c r="B700" s="1" t="s">
        <v>13</v>
      </c>
      <c r="C700" s="4" t="s">
        <v>3254</v>
      </c>
      <c r="D700" s="1" t="s">
        <v>3255</v>
      </c>
      <c r="E700" s="1" t="s">
        <v>3256</v>
      </c>
      <c r="F700" s="4" t="s">
        <v>17</v>
      </c>
      <c r="G700" s="1" t="s">
        <v>18</v>
      </c>
      <c r="H700" s="1" t="s">
        <v>19</v>
      </c>
      <c r="I700" s="1" t="s">
        <v>20</v>
      </c>
      <c r="J700" s="1" t="s">
        <v>3257</v>
      </c>
      <c r="K700" s="1" t="s">
        <v>22</v>
      </c>
      <c r="L700" s="1" t="str">
        <f>HYPERLINK("https://files.afu.se/Downloads/Transcripts/0%20-%20Government/USA%20-%20NASA%20Kennedy/2017 01 05 - NASA's Kennedy Space Center - Commercial Crew's Role in the Path to Mars_BXCJ3oKoiCw - transcript (automated).pdf","Transcript Link")</f>
        <v>Transcript Link</v>
      </c>
      <c r="M700" s="2" t="str">
        <f>HYPERLINK("https://files.afu.se/Downloads/Transcripts/0%20-%20Government/USA%20-%20NASA%20Kennedy/2017 01 05 - NASA's Kennedy Space Center - Commercial Crew's Role in the Path to Mars_BXCJ3oKoiCw - transcript (automated).pdf","Transcript Link")</f>
        <v>Transcript Link</v>
      </c>
    </row>
    <row r="701" ht="180" spans="1:13">
      <c r="A701" s="1" t="s">
        <v>3258</v>
      </c>
      <c r="B701" s="1" t="s">
        <v>13</v>
      </c>
      <c r="C701" s="4" t="s">
        <v>3259</v>
      </c>
      <c r="D701" s="1" t="s">
        <v>3260</v>
      </c>
      <c r="E701" s="1" t="s">
        <v>3261</v>
      </c>
      <c r="F701" s="4" t="s">
        <v>17</v>
      </c>
      <c r="G701" s="1" t="s">
        <v>18</v>
      </c>
      <c r="H701" s="1" t="s">
        <v>19</v>
      </c>
      <c r="I701" s="1" t="s">
        <v>20</v>
      </c>
      <c r="J701" s="1" t="s">
        <v>3262</v>
      </c>
      <c r="K701" s="1" t="s">
        <v>22</v>
      </c>
      <c r="L701" s="1" t="str">
        <f>HYPERLINK("https://files.afu.se/Downloads/Transcripts/0%20-%20Government/USA%20-%20NASA%20Kennedy/2016 12 21 - NASA's Kennedy Space Center - Inside KSC! for Dec. 23, 2016_GuruFHI5u8Q - transcript (automated).pdf","Transcript Link")</f>
        <v>Transcript Link</v>
      </c>
      <c r="M701" s="2" t="str">
        <f>HYPERLINK("https://files.afu.se/Downloads/Transcripts/0%20-%20Government/USA%20-%20NASA%20Kennedy/2016 12 21 - NASA's Kennedy Space Center - Inside KSC! for Dec. 23, 2016_GuruFHI5u8Q - transcript (automated).pdf","Transcript Link")</f>
        <v>Transcript Link</v>
      </c>
    </row>
    <row r="702" ht="180" spans="1:13">
      <c r="A702" s="1" t="s">
        <v>3263</v>
      </c>
      <c r="B702" s="1" t="s">
        <v>13</v>
      </c>
      <c r="C702" s="4" t="s">
        <v>3264</v>
      </c>
      <c r="D702" s="1" t="s">
        <v>3265</v>
      </c>
      <c r="E702" s="1" t="s">
        <v>3266</v>
      </c>
      <c r="F702" s="4" t="s">
        <v>17</v>
      </c>
      <c r="G702" s="1" t="s">
        <v>18</v>
      </c>
      <c r="H702" s="1" t="s">
        <v>19</v>
      </c>
      <c r="I702" s="1" t="s">
        <v>20</v>
      </c>
      <c r="J702" s="1" t="s">
        <v>3267</v>
      </c>
      <c r="K702" s="1" t="s">
        <v>22</v>
      </c>
      <c r="L702" s="1" t="str">
        <f>HYPERLINK("https://files.afu.se/Downloads/Transcripts/0%20-%20Government/USA%20-%20NASA%20Kennedy/2016 12 16 - NASA's Kennedy Space Center - Inside KSC! for Dec. 16, 2016_Eo8ibQWG6is - transcript (automated).pdf","Transcript Link")</f>
        <v>Transcript Link</v>
      </c>
      <c r="M702" s="2" t="str">
        <f>HYPERLINK("https://files.afu.se/Downloads/Transcripts/0%20-%20Government/USA%20-%20NASA%20Kennedy/2016 12 16 - NASA's Kennedy Space Center - Inside KSC! for Dec. 16, 2016_Eo8ibQWG6is - transcript (automated).pdf","Transcript Link")</f>
        <v>Transcript Link</v>
      </c>
    </row>
    <row r="703" ht="180" spans="1:13">
      <c r="A703" s="1" t="s">
        <v>3268</v>
      </c>
      <c r="B703" s="1" t="s">
        <v>13</v>
      </c>
      <c r="C703" s="4" t="s">
        <v>3269</v>
      </c>
      <c r="D703" s="1" t="s">
        <v>3270</v>
      </c>
      <c r="E703" s="1" t="s">
        <v>3271</v>
      </c>
      <c r="F703" s="4" t="s">
        <v>17</v>
      </c>
      <c r="G703" s="1" t="s">
        <v>18</v>
      </c>
      <c r="H703" s="1" t="s">
        <v>19</v>
      </c>
      <c r="I703" s="1" t="s">
        <v>20</v>
      </c>
      <c r="J703" s="1" t="s">
        <v>3272</v>
      </c>
      <c r="K703" s="1" t="s">
        <v>22</v>
      </c>
      <c r="L703" s="1" t="str">
        <f>HYPERLINK("https://files.afu.se/Downloads/Transcripts/0%20-%20Government/USA%20-%20NASA%20Kennedy/2016 12 15 - NASA's Kennedy Space Center - NASA Launch Director Tim Dunn Interview about CYGNSS Launch_1TFdQVJVU8s - transcript (automated).pdf","Transcript Link")</f>
        <v>Transcript Link</v>
      </c>
      <c r="M703" s="2" t="str">
        <f>HYPERLINK("https://files.afu.se/Downloads/Transcripts/0%20-%20Government/USA%20-%20NASA%20Kennedy/2016 12 15 - NASA's Kennedy Space Center - NASA Launch Director Tim Dunn Interview about CYGNSS Launch_1TFdQVJVU8s - transcript (automated).pdf","Transcript Link")</f>
        <v>Transcript Link</v>
      </c>
    </row>
    <row r="704" ht="180" spans="1:13">
      <c r="A704" s="1" t="s">
        <v>3268</v>
      </c>
      <c r="B704" s="1" t="s">
        <v>13</v>
      </c>
      <c r="C704" s="4" t="s">
        <v>3273</v>
      </c>
      <c r="D704" s="1" t="s">
        <v>3274</v>
      </c>
      <c r="E704" s="1" t="s">
        <v>3275</v>
      </c>
      <c r="F704" s="4" t="s">
        <v>17</v>
      </c>
      <c r="G704" s="1" t="s">
        <v>18</v>
      </c>
      <c r="H704" s="1" t="s">
        <v>19</v>
      </c>
      <c r="I704" s="1" t="s">
        <v>20</v>
      </c>
      <c r="J704" s="1" t="s">
        <v>3276</v>
      </c>
      <c r="K704" s="1" t="s">
        <v>22</v>
      </c>
      <c r="L704" s="1" t="str">
        <f>HYPERLINK("https://files.afu.se/Downloads/Transcripts/0%20-%20Government/USA%20-%20NASA%20Kennedy/2016 12 15 - NASA's Kennedy Space Center - CYGNSS Microsatellites Deployed into Orbit_fD-8NB4DFr0 - transcript (automated).pdf","Transcript Link")</f>
        <v>Transcript Link</v>
      </c>
      <c r="M704" s="2" t="str">
        <f>HYPERLINK("https://files.afu.se/Downloads/Transcripts/0%20-%20Government/USA%20-%20NASA%20Kennedy/2016 12 15 - NASA's Kennedy Space Center - CYGNSS Microsatellites Deployed into Orbit_fD-8NB4DFr0 - transcript (automated).pdf","Transcript Link")</f>
        <v>Transcript Link</v>
      </c>
    </row>
    <row r="705" ht="180" spans="1:13">
      <c r="A705" s="1" t="s">
        <v>3268</v>
      </c>
      <c r="B705" s="1" t="s">
        <v>13</v>
      </c>
      <c r="C705" s="4" t="s">
        <v>3277</v>
      </c>
      <c r="D705" s="1" t="s">
        <v>3278</v>
      </c>
      <c r="E705" s="1" t="s">
        <v>3279</v>
      </c>
      <c r="F705" s="4" t="s">
        <v>17</v>
      </c>
      <c r="G705" s="1" t="s">
        <v>18</v>
      </c>
      <c r="H705" s="1" t="s">
        <v>19</v>
      </c>
      <c r="I705" s="1" t="s">
        <v>20</v>
      </c>
      <c r="J705" s="1" t="s">
        <v>3280</v>
      </c>
      <c r="K705" s="1" t="s">
        <v>22</v>
      </c>
      <c r="L705" s="1" t="str">
        <f>HYPERLINK("https://files.afu.se/Downloads/Transcripts/0%20-%20Government/USA%20-%20NASA%20Kennedy/2016 12 15 - NASA's Kennedy Space Center - Pegasus XL Rocket Launches with CYGNSS Spacecraft_Bla3RsVia9A - transcript (automated).pdf","Transcript Link")</f>
        <v>Transcript Link</v>
      </c>
      <c r="M705" s="2" t="str">
        <f>HYPERLINK("https://files.afu.se/Downloads/Transcripts/0%20-%20Government/USA%20-%20NASA%20Kennedy/2016 12 15 - NASA's Kennedy Space Center - Pegasus XL Rocket Launches with CYGNSS Spacecraft_Bla3RsVia9A - transcript (automated).pdf","Transcript Link")</f>
        <v>Transcript Link</v>
      </c>
    </row>
    <row r="706" ht="180" spans="1:13">
      <c r="A706" s="1" t="s">
        <v>3268</v>
      </c>
      <c r="B706" s="1" t="s">
        <v>13</v>
      </c>
      <c r="C706" s="4" t="s">
        <v>3281</v>
      </c>
      <c r="D706" s="1" t="s">
        <v>3282</v>
      </c>
      <c r="E706" s="1" t="s">
        <v>3283</v>
      </c>
      <c r="F706" s="4" t="s">
        <v>17</v>
      </c>
      <c r="G706" s="1" t="s">
        <v>18</v>
      </c>
      <c r="H706" s="1" t="s">
        <v>19</v>
      </c>
      <c r="I706" s="1" t="s">
        <v>20</v>
      </c>
      <c r="J706" s="1" t="s">
        <v>3284</v>
      </c>
      <c r="K706" s="1" t="s">
        <v>22</v>
      </c>
      <c r="L706" s="1" t="str">
        <f>HYPERLINK("https://files.afu.se/Downloads/Transcripts/0%20-%20Government/USA%20-%20NASA%20Kennedy/2016 12 15 - NASA's Kennedy Space Center - CYGNSS Launch Poll_ZrfKdo6yGaI - transcript (automated).pdf","Transcript Link")</f>
        <v>Transcript Link</v>
      </c>
      <c r="M706" s="2" t="str">
        <f>HYPERLINK("https://files.afu.se/Downloads/Transcripts/0%20-%20Government/USA%20-%20NASA%20Kennedy/2016 12 15 - NASA's Kennedy Space Center - CYGNSS Launch Poll_ZrfKdo6yGaI - transcript (automated).pdf","Transcript Link")</f>
        <v>Transcript Link</v>
      </c>
    </row>
    <row r="707" ht="180" spans="1:13">
      <c r="A707" s="1" t="s">
        <v>3268</v>
      </c>
      <c r="B707" s="1" t="s">
        <v>13</v>
      </c>
      <c r="C707" s="4" t="s">
        <v>3285</v>
      </c>
      <c r="D707" s="1" t="s">
        <v>3286</v>
      </c>
      <c r="E707" s="1" t="s">
        <v>3287</v>
      </c>
      <c r="F707" s="4" t="s">
        <v>17</v>
      </c>
      <c r="G707" s="1" t="s">
        <v>18</v>
      </c>
      <c r="H707" s="1" t="s">
        <v>19</v>
      </c>
      <c r="I707" s="1" t="s">
        <v>20</v>
      </c>
      <c r="J707" s="1" t="s">
        <v>3288</v>
      </c>
      <c r="K707" s="1" t="s">
        <v>22</v>
      </c>
      <c r="L707" s="1" t="str">
        <f>HYPERLINK("https://files.afu.se/Downloads/Transcripts/0%20-%20Government/USA%20-%20NASA%20Kennedy/2016 12 15 - NASA's Kennedy Space Center - L-1011 Aircraft Take off with Pegasus XL and CYGNSS Spacecraft_20ks8gLJW-8 - transcript (automated).pdf","Transcript Link")</f>
        <v>Transcript Link</v>
      </c>
      <c r="M707" s="2" t="str">
        <f>HYPERLINK("https://files.afu.se/Downloads/Transcripts/0%20-%20Government/USA%20-%20NASA%20Kennedy/2016 12 15 - NASA's Kennedy Space Center - L-1011 Aircraft Take off with Pegasus XL and CYGNSS Spacecraft_20ks8gLJW-8 - transcript (automated).pdf","Transcript Link")</f>
        <v>Transcript Link</v>
      </c>
    </row>
    <row r="708" ht="180" spans="1:13">
      <c r="A708" s="1" t="s">
        <v>3268</v>
      </c>
      <c r="B708" s="1" t="s">
        <v>13</v>
      </c>
      <c r="C708" s="4" t="s">
        <v>3289</v>
      </c>
      <c r="D708" s="1" t="s">
        <v>3290</v>
      </c>
      <c r="E708" s="1" t="s">
        <v>3291</v>
      </c>
      <c r="F708" s="4" t="s">
        <v>17</v>
      </c>
      <c r="G708" s="1" t="s">
        <v>18</v>
      </c>
      <c r="H708" s="1" t="s">
        <v>19</v>
      </c>
      <c r="I708" s="1" t="s">
        <v>20</v>
      </c>
      <c r="J708" s="1" t="s">
        <v>3292</v>
      </c>
      <c r="K708" s="1" t="s">
        <v>22</v>
      </c>
      <c r="L708" s="1" t="str">
        <f>HYPERLINK("https://files.afu.se/Downloads/Transcripts/0%20-%20Government/USA%20-%20NASA%20Kennedy/2016 12 15 - NASA's Kennedy Space Center - CYGNSS  NASA TV Coverage Begins for 2nd Attempt_CW6R_0x3oaM - transcript (automated).pdf","Transcript Link")</f>
        <v>Transcript Link</v>
      </c>
      <c r="M708" s="2" t="str">
        <f>HYPERLINK("https://files.afu.se/Downloads/Transcripts/0%20-%20Government/USA%20-%20NASA%20Kennedy/2016 12 15 - NASA's Kennedy Space Center - CYGNSS  NASA TV Coverage Begins for 2nd Attempt_CW6R_0x3oaM - transcript (automated).pdf","Transcript Link")</f>
        <v>Transcript Link</v>
      </c>
    </row>
    <row r="709" ht="180" spans="1:13">
      <c r="A709" s="1" t="s">
        <v>3293</v>
      </c>
      <c r="B709" s="1" t="s">
        <v>13</v>
      </c>
      <c r="C709" s="4" t="s">
        <v>3294</v>
      </c>
      <c r="D709" s="1" t="s">
        <v>3295</v>
      </c>
      <c r="E709" s="1" t="s">
        <v>3296</v>
      </c>
      <c r="F709" s="4" t="s">
        <v>17</v>
      </c>
      <c r="G709" s="1" t="s">
        <v>18</v>
      </c>
      <c r="H709" s="1" t="s">
        <v>19</v>
      </c>
      <c r="I709" s="1" t="s">
        <v>20</v>
      </c>
      <c r="J709" s="1" t="s">
        <v>3297</v>
      </c>
      <c r="K709" s="1" t="s">
        <v>22</v>
      </c>
      <c r="L709" s="1" t="str">
        <f>HYPERLINK("https://files.afu.se/Downloads/Transcripts/0%20-%20Government/USA%20-%20NASA%20Kennedy/2016 12 12 - NASA's Kennedy Space Center - CYGNSS Launch Broadcast Open - Dec. 12, 2016_qN6ptUAdvag - transcript (automated).pdf","Transcript Link")</f>
        <v>Transcript Link</v>
      </c>
      <c r="M709" s="2" t="str">
        <f>HYPERLINK("https://files.afu.se/Downloads/Transcripts/0%20-%20Government/USA%20-%20NASA%20Kennedy/2016 12 12 - NASA's Kennedy Space Center - CYGNSS Launch Broadcast Open - Dec. 12, 2016_qN6ptUAdvag - transcript (automated).pdf","Transcript Link")</f>
        <v>Transcript Link</v>
      </c>
    </row>
    <row r="710" ht="180" spans="1:13">
      <c r="A710" s="1" t="s">
        <v>3293</v>
      </c>
      <c r="B710" s="1" t="s">
        <v>13</v>
      </c>
      <c r="C710" s="4" t="s">
        <v>3298</v>
      </c>
      <c r="D710" s="1" t="s">
        <v>3299</v>
      </c>
      <c r="E710" s="1" t="s">
        <v>3300</v>
      </c>
      <c r="F710" s="4" t="s">
        <v>17</v>
      </c>
      <c r="G710" s="1" t="s">
        <v>18</v>
      </c>
      <c r="H710" s="1" t="s">
        <v>19</v>
      </c>
      <c r="I710" s="1" t="s">
        <v>20</v>
      </c>
      <c r="J710" s="1" t="s">
        <v>3301</v>
      </c>
      <c r="K710" s="1" t="s">
        <v>22</v>
      </c>
      <c r="L710" s="1" t="str">
        <f>HYPERLINK("https://files.afu.se/Downloads/Transcripts/0%20-%20Government/USA%20-%20NASA%20Kennedy/2016 12 12 - NASA's Kennedy Space Center - CYGNSS Interview  Scrub_1IOHhrdBasg - transcript (automated).pdf","Transcript Link")</f>
        <v>Transcript Link</v>
      </c>
      <c r="M710" s="2" t="str">
        <f>HYPERLINK("https://files.afu.se/Downloads/Transcripts/0%20-%20Government/USA%20-%20NASA%20Kennedy/2016 12 12 - NASA's Kennedy Space Center - CYGNSS Interview  Scrub_1IOHhrdBasg - transcript (automated).pdf","Transcript Link")</f>
        <v>Transcript Link</v>
      </c>
    </row>
    <row r="711" ht="180" spans="1:13">
      <c r="A711" s="1" t="s">
        <v>3293</v>
      </c>
      <c r="B711" s="1" t="s">
        <v>13</v>
      </c>
      <c r="C711" s="4" t="s">
        <v>3302</v>
      </c>
      <c r="D711" s="1" t="s">
        <v>3303</v>
      </c>
      <c r="E711" s="1" t="s">
        <v>3304</v>
      </c>
      <c r="F711" s="4" t="s">
        <v>17</v>
      </c>
      <c r="G711" s="1" t="s">
        <v>18</v>
      </c>
      <c r="H711" s="1" t="s">
        <v>19</v>
      </c>
      <c r="I711" s="1" t="s">
        <v>20</v>
      </c>
      <c r="J711" s="1" t="s">
        <v>3305</v>
      </c>
      <c r="K711" s="1" t="s">
        <v>22</v>
      </c>
      <c r="L711" s="1" t="str">
        <f>HYPERLINK("https://files.afu.se/Downloads/Transcripts/0%20-%20Government/USA%20-%20NASA%20Kennedy/2016 12 12 - NASA's Kennedy Space Center - L-1011 Takes Off Carrying Pegasus for CYGNSS Launch_XK4f9KpzGpA - transcript (automated).pdf","Transcript Link")</f>
        <v>Transcript Link</v>
      </c>
      <c r="M711" s="2" t="str">
        <f>HYPERLINK("https://files.afu.se/Downloads/Transcripts/0%20-%20Government/USA%20-%20NASA%20Kennedy/2016 12 12 - NASA's Kennedy Space Center - L-1011 Takes Off Carrying Pegasus for CYGNSS Launch_XK4f9KpzGpA - transcript (automated).pdf","Transcript Link")</f>
        <v>Transcript Link</v>
      </c>
    </row>
    <row r="712" ht="180" spans="1:13">
      <c r="A712" s="1" t="s">
        <v>3306</v>
      </c>
      <c r="B712" s="1" t="s">
        <v>13</v>
      </c>
      <c r="C712" s="4" t="s">
        <v>3307</v>
      </c>
      <c r="D712" s="1" t="s">
        <v>3308</v>
      </c>
      <c r="E712" s="1" t="s">
        <v>3309</v>
      </c>
      <c r="F712" s="4" t="s">
        <v>17</v>
      </c>
      <c r="G712" s="1" t="s">
        <v>18</v>
      </c>
      <c r="H712" s="1" t="s">
        <v>19</v>
      </c>
      <c r="I712" s="1" t="s">
        <v>20</v>
      </c>
      <c r="J712" s="1" t="s">
        <v>3310</v>
      </c>
      <c r="K712" s="1" t="s">
        <v>22</v>
      </c>
      <c r="L712" s="1" t="str">
        <f>HYPERLINK("https://files.afu.se/Downloads/Transcripts/0%20-%20Government/USA%20-%20NASA%20Kennedy/2016 12 10 - NASA's Kennedy Space Center - CYGNSS From Mission to Launch Processing_tLWrZFA_wtY - transcript (automated).pdf","Transcript Link")</f>
        <v>Transcript Link</v>
      </c>
      <c r="M712" s="2" t="str">
        <f>HYPERLINK("https://files.afu.se/Downloads/Transcripts/0%20-%20Government/USA%20-%20NASA%20Kennedy/2016 12 10 - NASA's Kennedy Space Center - CYGNSS From Mission to Launch Processing_tLWrZFA_wtY - transcript (automated).pdf","Transcript Link")</f>
        <v>Transcript Link</v>
      </c>
    </row>
    <row r="713" ht="180" spans="1:13">
      <c r="A713" s="1" t="s">
        <v>3311</v>
      </c>
      <c r="B713" s="1" t="s">
        <v>13</v>
      </c>
      <c r="C713" s="4" t="s">
        <v>3312</v>
      </c>
      <c r="D713" s="1" t="s">
        <v>3313</v>
      </c>
      <c r="E713" s="1" t="s">
        <v>3314</v>
      </c>
      <c r="F713" s="4" t="s">
        <v>17</v>
      </c>
      <c r="G713" s="1" t="s">
        <v>18</v>
      </c>
      <c r="H713" s="1" t="s">
        <v>19</v>
      </c>
      <c r="I713" s="1" t="s">
        <v>20</v>
      </c>
      <c r="J713" s="1" t="s">
        <v>3315</v>
      </c>
      <c r="K713" s="1" t="s">
        <v>22</v>
      </c>
      <c r="L713" s="1" t="str">
        <f>HYPERLINK("https://files.afu.se/Downloads/Transcripts/0%20-%20Government/USA%20-%20NASA%20Kennedy/2016 12 09 - NASA's Kennedy Space Center - Inside KSC! for Dec. 9, 2016_3gM6NblzlWQ - transcript (automated).pdf","Transcript Link")</f>
        <v>Transcript Link</v>
      </c>
      <c r="M713" s="2" t="str">
        <f>HYPERLINK("https://files.afu.se/Downloads/Transcripts/0%20-%20Government/USA%20-%20NASA%20Kennedy/2016 12 09 - NASA's Kennedy Space Center - Inside KSC! for Dec. 9, 2016_3gM6NblzlWQ - transcript (automated).pdf","Transcript Link")</f>
        <v>Transcript Link</v>
      </c>
    </row>
    <row r="714" ht="180" spans="1:13">
      <c r="A714" s="1" t="s">
        <v>3311</v>
      </c>
      <c r="B714" s="1" t="s">
        <v>13</v>
      </c>
      <c r="C714" s="4" t="s">
        <v>3316</v>
      </c>
      <c r="D714" s="1" t="s">
        <v>3317</v>
      </c>
      <c r="E714" s="1" t="s">
        <v>3318</v>
      </c>
      <c r="F714" s="4" t="s">
        <v>17</v>
      </c>
      <c r="G714" s="1" t="s">
        <v>18</v>
      </c>
      <c r="H714" s="1" t="s">
        <v>19</v>
      </c>
      <c r="I714" s="1" t="s">
        <v>20</v>
      </c>
      <c r="J714" s="1" t="s">
        <v>3319</v>
      </c>
      <c r="K714" s="1" t="s">
        <v>22</v>
      </c>
      <c r="L714" s="1" t="str">
        <f>HYPERLINK("https://files.afu.se/Downloads/Transcripts/0%20-%20Government/USA%20-%20NASA%20Kennedy/2016 12 09 - NASA's Kennedy Space Center - Pegasus  A Rocket Unlike Any Other_o5Z_YvjBuGE - transcript (automated).pdf","Transcript Link")</f>
        <v>Transcript Link</v>
      </c>
      <c r="M714" s="2" t="str">
        <f>HYPERLINK("https://files.afu.se/Downloads/Transcripts/0%20-%20Government/USA%20-%20NASA%20Kennedy/2016 12 09 - NASA's Kennedy Space Center - Pegasus  A Rocket Unlike Any Other_o5Z_YvjBuGE - transcript (automated).pdf","Transcript Link")</f>
        <v>Transcript Link</v>
      </c>
    </row>
    <row r="715" ht="255" spans="1:13">
      <c r="A715" s="1" t="s">
        <v>3320</v>
      </c>
      <c r="B715" s="1" t="s">
        <v>13</v>
      </c>
      <c r="C715" s="4" t="s">
        <v>3321</v>
      </c>
      <c r="D715" s="1" t="s">
        <v>3322</v>
      </c>
      <c r="E715" s="1" t="s">
        <v>3323</v>
      </c>
      <c r="F715" s="4" t="s">
        <v>17</v>
      </c>
      <c r="G715" s="1" t="s">
        <v>18</v>
      </c>
      <c r="H715" s="1" t="s">
        <v>19</v>
      </c>
      <c r="I715" s="1" t="s">
        <v>20</v>
      </c>
      <c r="J715" s="1" t="s">
        <v>3324</v>
      </c>
      <c r="K715" s="1" t="s">
        <v>22</v>
      </c>
      <c r="L715" s="1" t="str">
        <f>HYPERLINK("https://files.afu.se/Downloads/Transcripts/0%20-%20Government/USA%20-%20NASA%20Kennedy/2016 12 08 - NASA's Kennedy Space Center - STS-95 Mission Highlights_RYMLQyYF32s - transcript (automated).pdf","Transcript Link")</f>
        <v>Transcript Link</v>
      </c>
      <c r="M715" s="2" t="str">
        <f>HYPERLINK("https://files.afu.se/Downloads/Transcripts/0%20-%20Government/USA%20-%20NASA%20Kennedy/2016 12 08 - NASA's Kennedy Space Center - STS-95 Mission Highlights_RYMLQyYF32s - transcript (automated).pdf","Transcript Link")</f>
        <v>Transcript Link</v>
      </c>
    </row>
    <row r="716" ht="180" spans="1:13">
      <c r="A716" s="1" t="s">
        <v>3320</v>
      </c>
      <c r="B716" s="1" t="s">
        <v>13</v>
      </c>
      <c r="C716" s="4" t="s">
        <v>3325</v>
      </c>
      <c r="D716" s="1" t="s">
        <v>3326</v>
      </c>
      <c r="E716" s="1" t="s">
        <v>3327</v>
      </c>
      <c r="F716" s="4" t="s">
        <v>17</v>
      </c>
      <c r="G716" s="1" t="s">
        <v>18</v>
      </c>
      <c r="H716" s="1" t="s">
        <v>19</v>
      </c>
      <c r="I716" s="1" t="s">
        <v>20</v>
      </c>
      <c r="J716" s="1" t="s">
        <v>3328</v>
      </c>
      <c r="K716" s="1" t="s">
        <v>22</v>
      </c>
      <c r="L716" s="1" t="str">
        <f>HYPERLINK("https://files.afu.se/Downloads/Transcripts/0%20-%20Government/USA%20-%20NASA%20Kennedy/2016 12 08 - NASA's Kennedy Space Center - John Glenn's Mercury-Atlas 6 Mission, 'Friendship 7'_Pr2IsapvdaY - transcript (automated).pdf","Transcript Link")</f>
        <v>Transcript Link</v>
      </c>
      <c r="M716" s="2" t="str">
        <f>HYPERLINK("https://files.afu.se/Downloads/Transcripts/0%20-%20Government/USA%20-%20NASA%20Kennedy/2016 12 08 - NASA's Kennedy Space Center - John Glenn's Mercury-Atlas 6 Mission, 'Friendship 7'_Pr2IsapvdaY - transcript (automated).pdf","Transcript Link")</f>
        <v>Transcript Link</v>
      </c>
    </row>
    <row r="717" ht="180" spans="1:13">
      <c r="A717" s="1" t="s">
        <v>3329</v>
      </c>
      <c r="B717" s="1" t="s">
        <v>13</v>
      </c>
      <c r="C717" s="4" t="s">
        <v>3330</v>
      </c>
      <c r="D717" s="1" t="s">
        <v>3331</v>
      </c>
      <c r="E717" s="1" t="s">
        <v>3332</v>
      </c>
      <c r="F717" s="4" t="s">
        <v>17</v>
      </c>
      <c r="G717" s="1" t="s">
        <v>18</v>
      </c>
      <c r="H717" s="1" t="s">
        <v>19</v>
      </c>
      <c r="I717" s="1" t="s">
        <v>20</v>
      </c>
      <c r="J717" s="1" t="s">
        <v>3333</v>
      </c>
      <c r="K717" s="1" t="s">
        <v>22</v>
      </c>
      <c r="L717" s="1" t="str">
        <f>HYPERLINK("https://files.afu.se/Downloads/Transcripts/0%20-%20Government/USA%20-%20NASA%20Kennedy/2016 12 06 - NASA's Kennedy Space Center - Launching the New Space Age at Kennedy_8zwHj6Q-2JA - transcript (automated).pdf","Transcript Link")</f>
        <v>Transcript Link</v>
      </c>
      <c r="M717" s="2" t="str">
        <f>HYPERLINK("https://files.afu.se/Downloads/Transcripts/0%20-%20Government/USA%20-%20NASA%20Kennedy/2016 12 06 - NASA's Kennedy Space Center - Launching the New Space Age at Kennedy_8zwHj6Q-2JA - transcript (automated).pdf","Transcript Link")</f>
        <v>Transcript Link</v>
      </c>
    </row>
    <row r="718" ht="180" spans="1:13">
      <c r="A718" s="1" t="s">
        <v>3334</v>
      </c>
      <c r="B718" s="1" t="s">
        <v>13</v>
      </c>
      <c r="C718" s="4" t="s">
        <v>3335</v>
      </c>
      <c r="D718" s="1" t="s">
        <v>3336</v>
      </c>
      <c r="E718" s="1" t="s">
        <v>3337</v>
      </c>
      <c r="F718" s="4" t="s">
        <v>17</v>
      </c>
      <c r="G718" s="1" t="s">
        <v>18</v>
      </c>
      <c r="H718" s="1" t="s">
        <v>19</v>
      </c>
      <c r="I718" s="1" t="s">
        <v>20</v>
      </c>
      <c r="J718" s="1" t="s">
        <v>3338</v>
      </c>
      <c r="K718" s="1" t="s">
        <v>22</v>
      </c>
      <c r="L718" s="1" t="str">
        <f>HYPERLINK("https://files.afu.se/Downloads/Transcripts/0%20-%20Government/USA%20-%20NASA%20Kennedy/2016 12 02 - NASA's Kennedy Space Center - Inside KSC! for Dec. 2, 2016_Hc5ODp0uSs8 - transcript (automated).pdf","Transcript Link")</f>
        <v>Transcript Link</v>
      </c>
      <c r="M718" s="2" t="str">
        <f>HYPERLINK("https://files.afu.se/Downloads/Transcripts/0%20-%20Government/USA%20-%20NASA%20Kennedy/2016 12 02 - NASA's Kennedy Space Center - Inside KSC! for Dec. 2, 2016_Hc5ODp0uSs8 - transcript (automated).pdf","Transcript Link")</f>
        <v>Transcript Link</v>
      </c>
    </row>
    <row r="719" ht="180" spans="1:13">
      <c r="A719" s="1" t="s">
        <v>3339</v>
      </c>
      <c r="B719" s="1" t="s">
        <v>13</v>
      </c>
      <c r="C719" s="4" t="s">
        <v>3340</v>
      </c>
      <c r="D719" s="1" t="s">
        <v>3341</v>
      </c>
      <c r="E719" s="1" t="s">
        <v>3342</v>
      </c>
      <c r="F719" s="4" t="s">
        <v>17</v>
      </c>
      <c r="G719" s="1" t="s">
        <v>18</v>
      </c>
      <c r="H719" s="1" t="s">
        <v>19</v>
      </c>
      <c r="I719" s="1" t="s">
        <v>20</v>
      </c>
      <c r="J719" s="1" t="s">
        <v>3343</v>
      </c>
      <c r="K719" s="1" t="s">
        <v>22</v>
      </c>
      <c r="L719" s="1" t="str">
        <f>HYPERLINK("https://files.afu.se/Downloads/Transcripts/0%20-%20Government/USA%20-%20NASA%20Kennedy/2016 11 23 - NASA's Kennedy Space Center - Inside KSC! for Nov. 23, 2016_Hr9M98ZAV3s - transcript (automated).pdf","Transcript Link")</f>
        <v>Transcript Link</v>
      </c>
      <c r="M719" s="2" t="str">
        <f>HYPERLINK("https://files.afu.se/Downloads/Transcripts/0%20-%20Government/USA%20-%20NASA%20Kennedy/2016 11 23 - NASA's Kennedy Space Center - Inside KSC! for Nov. 23, 2016_Hr9M98ZAV3s - transcript (automated).pdf","Transcript Link")</f>
        <v>Transcript Link</v>
      </c>
    </row>
    <row r="720" ht="180" spans="1:13">
      <c r="A720" s="1" t="s">
        <v>3344</v>
      </c>
      <c r="B720" s="1" t="s">
        <v>13</v>
      </c>
      <c r="C720" s="4" t="s">
        <v>3345</v>
      </c>
      <c r="D720" s="1" t="s">
        <v>3346</v>
      </c>
      <c r="E720" s="1" t="s">
        <v>3347</v>
      </c>
      <c r="F720" s="4" t="s">
        <v>17</v>
      </c>
      <c r="G720" s="1" t="s">
        <v>18</v>
      </c>
      <c r="H720" s="1" t="s">
        <v>19</v>
      </c>
      <c r="I720" s="1" t="s">
        <v>20</v>
      </c>
      <c r="J720" s="1" t="s">
        <v>3348</v>
      </c>
      <c r="K720" s="1" t="s">
        <v>22</v>
      </c>
      <c r="L720" s="1" t="str">
        <f>HYPERLINK("https://files.afu.se/Downloads/Transcripts/0%20-%20Government/USA%20-%20NASA%20Kennedy/2016 11 20 - NASA's Kennedy Space Center - GOES-R Spacecraft Separation_N0CAxVT6ucM - transcript (automated).pdf","Transcript Link")</f>
        <v>Transcript Link</v>
      </c>
      <c r="M720" s="2" t="str">
        <f>HYPERLINK("https://files.afu.se/Downloads/Transcripts/0%20-%20Government/USA%20-%20NASA%20Kennedy/2016 11 20 - NASA's Kennedy Space Center - GOES-R Spacecraft Separation_N0CAxVT6ucM - transcript (automated).pdf","Transcript Link")</f>
        <v>Transcript Link</v>
      </c>
    </row>
    <row r="721" ht="180" spans="1:13">
      <c r="A721" s="1" t="s">
        <v>3344</v>
      </c>
      <c r="B721" s="1" t="s">
        <v>13</v>
      </c>
      <c r="C721" s="4" t="s">
        <v>3349</v>
      </c>
      <c r="D721" s="1" t="s">
        <v>3350</v>
      </c>
      <c r="E721" s="1" t="s">
        <v>3351</v>
      </c>
      <c r="F721" s="4" t="s">
        <v>17</v>
      </c>
      <c r="G721" s="1" t="s">
        <v>18</v>
      </c>
      <c r="H721" s="1" t="s">
        <v>19</v>
      </c>
      <c r="I721" s="1" t="s">
        <v>20</v>
      </c>
      <c r="J721" s="1" t="s">
        <v>3352</v>
      </c>
      <c r="K721" s="1" t="s">
        <v>22</v>
      </c>
      <c r="L721" s="1" t="str">
        <f>HYPERLINK("https://files.afu.se/Downloads/Transcripts/0%20-%20Government/USA%20-%20NASA%20Kennedy/2016 11 20 - NASA's Kennedy Space Center - Interview with GOES-R NASA Launch Manager Omar Baez_O7lpEoUV7BQ - transcript (automated).pdf","Transcript Link")</f>
        <v>Transcript Link</v>
      </c>
      <c r="M721" s="2" t="str">
        <f>HYPERLINK("https://files.afu.se/Downloads/Transcripts/0%20-%20Government/USA%20-%20NASA%20Kennedy/2016 11 20 - NASA's Kennedy Space Center - Interview with GOES-R NASA Launch Manager Omar Baez_O7lpEoUV7BQ - transcript (automated).pdf","Transcript Link")</f>
        <v>Transcript Link</v>
      </c>
    </row>
    <row r="722" ht="180" spans="1:13">
      <c r="A722" s="1" t="s">
        <v>3344</v>
      </c>
      <c r="B722" s="1" t="s">
        <v>13</v>
      </c>
      <c r="C722" s="4" t="s">
        <v>3353</v>
      </c>
      <c r="D722" s="1" t="s">
        <v>3354</v>
      </c>
      <c r="E722" s="1" t="s">
        <v>3355</v>
      </c>
      <c r="F722" s="4" t="s">
        <v>17</v>
      </c>
      <c r="G722" s="1" t="s">
        <v>18</v>
      </c>
      <c r="H722" s="1" t="s">
        <v>19</v>
      </c>
      <c r="I722" s="1" t="s">
        <v>20</v>
      </c>
      <c r="J722" s="1" t="s">
        <v>3356</v>
      </c>
      <c r="K722" s="1" t="s">
        <v>22</v>
      </c>
      <c r="L722" s="1" t="str">
        <f>HYPERLINK("https://files.afu.se/Downloads/Transcripts/0%20-%20Government/USA%20-%20NASA%20Kennedy/2016 11 20 - NASA's Kennedy Space Center - Interview with GOES-R Mission Director and Flight Project Manager Pam Sullivan_qUKHT6DGe5o - transcript (automated).pdf","Transcript Link")</f>
        <v>Transcript Link</v>
      </c>
      <c r="M722" s="2" t="str">
        <f>HYPERLINK("https://files.afu.se/Downloads/Transcripts/0%20-%20Government/USA%20-%20NASA%20Kennedy/2016 11 20 - NASA's Kennedy Space Center - Interview with GOES-R Mission Director and Flight Project Manager Pam Sullivan_qUKHT6DGe5o - transcript (automated).pdf","Transcript Link")</f>
        <v>Transcript Link</v>
      </c>
    </row>
    <row r="723" ht="180" spans="1:13">
      <c r="A723" s="1" t="s">
        <v>3344</v>
      </c>
      <c r="B723" s="1" t="s">
        <v>13</v>
      </c>
      <c r="C723" s="4" t="s">
        <v>3357</v>
      </c>
      <c r="D723" s="1" t="s">
        <v>3358</v>
      </c>
      <c r="E723" s="1" t="s">
        <v>3359</v>
      </c>
      <c r="F723" s="4" t="s">
        <v>17</v>
      </c>
      <c r="G723" s="1" t="s">
        <v>18</v>
      </c>
      <c r="H723" s="1" t="s">
        <v>19</v>
      </c>
      <c r="I723" s="1" t="s">
        <v>20</v>
      </c>
      <c r="J723" s="1" t="s">
        <v>3360</v>
      </c>
      <c r="K723" s="1" t="s">
        <v>22</v>
      </c>
      <c r="L723" s="1" t="str">
        <f>HYPERLINK("https://files.afu.se/Downloads/Transcripts/0%20-%20Government/USA%20-%20NASA%20Kennedy/2016 11 20 - NASA's Kennedy Space Center - GOES-R Advances Partnership of NASA and Weather Watchers_ezg8HA4AwFY - transcript (automated).pdf","Transcript Link")</f>
        <v>Transcript Link</v>
      </c>
      <c r="M723" s="2" t="str">
        <f>HYPERLINK("https://files.afu.se/Downloads/Transcripts/0%20-%20Government/USA%20-%20NASA%20Kennedy/2016 11 20 - NASA's Kennedy Space Center - GOES-R Advances Partnership of NASA and Weather Watchers_ezg8HA4AwFY - transcript (automated).pdf","Transcript Link")</f>
        <v>Transcript Link</v>
      </c>
    </row>
    <row r="724" ht="180" spans="1:13">
      <c r="A724" s="1" t="s">
        <v>3344</v>
      </c>
      <c r="B724" s="1" t="s">
        <v>13</v>
      </c>
      <c r="C724" s="4" t="s">
        <v>3361</v>
      </c>
      <c r="D724" s="1" t="s">
        <v>3362</v>
      </c>
      <c r="E724" s="1" t="s">
        <v>3363</v>
      </c>
      <c r="F724" s="4" t="s">
        <v>17</v>
      </c>
      <c r="G724" s="1" t="s">
        <v>18</v>
      </c>
      <c r="H724" s="1" t="s">
        <v>19</v>
      </c>
      <c r="I724" s="1" t="s">
        <v>20</v>
      </c>
      <c r="J724" s="1" t="s">
        <v>3364</v>
      </c>
      <c r="K724" s="1" t="s">
        <v>22</v>
      </c>
      <c r="L724" s="1" t="str">
        <f>HYPERLINK("https://files.afu.se/Downloads/Transcripts/0%20-%20Government/USA%20-%20NASA%20Kennedy/2016 11 20 - NASA's Kennedy Space Center - Atlas V Lift-off for GOES-R Mission_FDhJYgcHDX8 - transcript (automated).pdf","Transcript Link")</f>
        <v>Transcript Link</v>
      </c>
      <c r="M724" s="2" t="str">
        <f>HYPERLINK("https://files.afu.se/Downloads/Transcripts/0%20-%20Government/USA%20-%20NASA%20Kennedy/2016 11 20 - NASA's Kennedy Space Center - Atlas V Lift-off for GOES-R Mission_FDhJYgcHDX8 - transcript (automated).pdf","Transcript Link")</f>
        <v>Transcript Link</v>
      </c>
    </row>
    <row r="725" ht="180" spans="1:13">
      <c r="A725" s="1" t="s">
        <v>3344</v>
      </c>
      <c r="B725" s="1" t="s">
        <v>13</v>
      </c>
      <c r="C725" s="4" t="s">
        <v>3365</v>
      </c>
      <c r="D725" s="1" t="s">
        <v>3366</v>
      </c>
      <c r="E725" s="1" t="s">
        <v>3367</v>
      </c>
      <c r="F725" s="4" t="s">
        <v>17</v>
      </c>
      <c r="G725" s="1" t="s">
        <v>18</v>
      </c>
      <c r="H725" s="1" t="s">
        <v>19</v>
      </c>
      <c r="I725" s="1" t="s">
        <v>20</v>
      </c>
      <c r="J725" s="1" t="s">
        <v>3368</v>
      </c>
      <c r="K725" s="1" t="s">
        <v>22</v>
      </c>
      <c r="L725" s="1" t="str">
        <f>HYPERLINK("https://files.afu.se/Downloads/Transcripts/0%20-%20Government/USA%20-%20NASA%20Kennedy/2016 11 20 - NASA's Kennedy Space Center - Countdown Underway for Atlas V with GOES-R Launch_4dh_ZeMEadE - transcript (automated).pdf","Transcript Link")</f>
        <v>Transcript Link</v>
      </c>
      <c r="M725" s="2" t="str">
        <f>HYPERLINK("https://files.afu.se/Downloads/Transcripts/0%20-%20Government/USA%20-%20NASA%20Kennedy/2016 11 20 - NASA's Kennedy Space Center - Countdown Underway for Atlas V with GOES-R Launch_4dh_ZeMEadE - transcript (automated).pdf","Transcript Link")</f>
        <v>Transcript Link</v>
      </c>
    </row>
    <row r="726" ht="180" spans="1:13">
      <c r="A726" s="1" t="s">
        <v>3369</v>
      </c>
      <c r="B726" s="1" t="s">
        <v>13</v>
      </c>
      <c r="C726" s="4" t="s">
        <v>3370</v>
      </c>
      <c r="D726" s="1" t="s">
        <v>3371</v>
      </c>
      <c r="E726" s="1" t="s">
        <v>3372</v>
      </c>
      <c r="F726" s="4" t="s">
        <v>17</v>
      </c>
      <c r="G726" s="1" t="s">
        <v>18</v>
      </c>
      <c r="H726" s="1" t="s">
        <v>19</v>
      </c>
      <c r="I726" s="1" t="s">
        <v>20</v>
      </c>
      <c r="J726" s="1" t="s">
        <v>3373</v>
      </c>
      <c r="K726" s="1" t="s">
        <v>22</v>
      </c>
      <c r="L726" s="1" t="str">
        <f>HYPERLINK("https://files.afu.se/Downloads/Transcripts/0%20-%20Government/USA%20-%20NASA%20Kennedy/2016 11 19 - NASA's Kennedy Space Center - GOES-R Launch Coverage Begins_fwS5Cvyuw08 - transcript (automated).pdf","Transcript Link")</f>
        <v>Transcript Link</v>
      </c>
      <c r="M726" s="2" t="str">
        <f>HYPERLINK("https://files.afu.se/Downloads/Transcripts/0%20-%20Government/USA%20-%20NASA%20Kennedy/2016 11 19 - NASA's Kennedy Space Center - GOES-R Launch Coverage Begins_fwS5Cvyuw08 - transcript (automated).pdf","Transcript Link")</f>
        <v>Transcript Link</v>
      </c>
    </row>
    <row r="727" ht="180" spans="1:13">
      <c r="A727" s="1" t="s">
        <v>3369</v>
      </c>
      <c r="B727" s="1" t="s">
        <v>13</v>
      </c>
      <c r="C727" s="4" t="s">
        <v>3374</v>
      </c>
      <c r="D727" s="1" t="s">
        <v>3375</v>
      </c>
      <c r="E727" s="1" t="s">
        <v>3376</v>
      </c>
      <c r="F727" s="4" t="s">
        <v>17</v>
      </c>
      <c r="G727" s="1" t="s">
        <v>18</v>
      </c>
      <c r="H727" s="1" t="s">
        <v>19</v>
      </c>
      <c r="I727" s="1" t="s">
        <v>20</v>
      </c>
      <c r="J727" s="1" t="s">
        <v>3377</v>
      </c>
      <c r="K727" s="1" t="s">
        <v>22</v>
      </c>
      <c r="L727" s="1" t="str">
        <f>HYPERLINK("https://files.afu.se/Downloads/Transcripts/0%20-%20Government/USA%20-%20NASA%20Kennedy/2016 11 19 - NASA's Kennedy Space Center - Countdown  Problem-Solving on Launch Day_BlWE_Z0TLFE - transcript (automated).pdf","Transcript Link")</f>
        <v>Transcript Link</v>
      </c>
      <c r="M727" s="2" t="str">
        <f>HYPERLINK("https://files.afu.se/Downloads/Transcripts/0%20-%20Government/USA%20-%20NASA%20Kennedy/2016 11 19 - NASA's Kennedy Space Center - Countdown  Problem-Solving on Launch Day_BlWE_Z0TLFE - transcript (automated).pdf","Transcript Link")</f>
        <v>Transcript Link</v>
      </c>
    </row>
    <row r="728" ht="180" spans="1:13">
      <c r="A728" s="1" t="s">
        <v>3369</v>
      </c>
      <c r="B728" s="1" t="s">
        <v>13</v>
      </c>
      <c r="C728" s="4" t="s">
        <v>3378</v>
      </c>
      <c r="D728" s="1" t="s">
        <v>3379</v>
      </c>
      <c r="E728" s="1" t="s">
        <v>3380</v>
      </c>
      <c r="F728" s="4" t="s">
        <v>17</v>
      </c>
      <c r="G728" s="1" t="s">
        <v>18</v>
      </c>
      <c r="H728" s="1" t="s">
        <v>19</v>
      </c>
      <c r="I728" s="1" t="s">
        <v>20</v>
      </c>
      <c r="J728" s="1" t="s">
        <v>3381</v>
      </c>
      <c r="K728" s="1" t="s">
        <v>22</v>
      </c>
      <c r="L728" s="1" t="str">
        <f>HYPERLINK("https://files.afu.se/Downloads/Transcripts/0%20-%20Government/USA%20-%20NASA%20Kennedy/2016 11 19 - NASA's Kennedy Space Center - Countdown  L-Minus vs. T-Minus_k0cvGRIFMK0 - transcript (automated).pdf","Transcript Link")</f>
        <v>Transcript Link</v>
      </c>
      <c r="M728" s="2" t="str">
        <f>HYPERLINK("https://files.afu.se/Downloads/Transcripts/0%20-%20Government/USA%20-%20NASA%20Kennedy/2016 11 19 - NASA's Kennedy Space Center - Countdown  L-Minus vs. T-Minus_k0cvGRIFMK0 - transcript (automated).pdf","Transcript Link")</f>
        <v>Transcript Link</v>
      </c>
    </row>
    <row r="729" ht="180" spans="1:13">
      <c r="A729" s="1" t="s">
        <v>3382</v>
      </c>
      <c r="B729" s="1" t="s">
        <v>13</v>
      </c>
      <c r="C729" s="4" t="s">
        <v>3383</v>
      </c>
      <c r="D729" s="1" t="s">
        <v>3384</v>
      </c>
      <c r="E729" s="1" t="s">
        <v>3385</v>
      </c>
      <c r="F729" s="4" t="s">
        <v>17</v>
      </c>
      <c r="G729" s="1" t="s">
        <v>18</v>
      </c>
      <c r="H729" s="1" t="s">
        <v>19</v>
      </c>
      <c r="I729" s="1" t="s">
        <v>20</v>
      </c>
      <c r="J729" s="1" t="s">
        <v>3386</v>
      </c>
      <c r="K729" s="1" t="s">
        <v>22</v>
      </c>
      <c r="L729" s="1" t="str">
        <f>HYPERLINK("https://files.afu.se/Downloads/Transcripts/0%20-%20Government/USA%20-%20NASA%20Kennedy/2016 11 18 - NASA's Kennedy Space Center - GOES-R and Atlas V Rocket Prepared for Launch_By0fhGgo6kA - transcript (automated).pdf","Transcript Link")</f>
        <v>Transcript Link</v>
      </c>
      <c r="M729" s="2" t="str">
        <f>HYPERLINK("https://files.afu.se/Downloads/Transcripts/0%20-%20Government/USA%20-%20NASA%20Kennedy/2016 11 18 - NASA's Kennedy Space Center - GOES-R and Atlas V Rocket Prepared for Launch_By0fhGgo6kA - transcript (automated).pdf","Transcript Link")</f>
        <v>Transcript Link</v>
      </c>
    </row>
    <row r="730" ht="180" spans="1:13">
      <c r="A730" s="1" t="s">
        <v>3382</v>
      </c>
      <c r="B730" s="1" t="s">
        <v>13</v>
      </c>
      <c r="C730" s="4" t="s">
        <v>3387</v>
      </c>
      <c r="D730" s="1" t="s">
        <v>3388</v>
      </c>
      <c r="E730" s="1" t="s">
        <v>3389</v>
      </c>
      <c r="F730" s="4" t="s">
        <v>17</v>
      </c>
      <c r="G730" s="1" t="s">
        <v>18</v>
      </c>
      <c r="H730" s="1" t="s">
        <v>19</v>
      </c>
      <c r="I730" s="1" t="s">
        <v>20</v>
      </c>
      <c r="J730" s="1" t="s">
        <v>3390</v>
      </c>
      <c r="K730" s="1" t="s">
        <v>22</v>
      </c>
      <c r="L730" s="1" t="str">
        <f>HYPERLINK("https://files.afu.se/Downloads/Transcripts/0%20-%20Government/USA%20-%20NASA%20Kennedy/2016 11 18 - NASA's Kennedy Space Center - GOES-R  Launch Will Cap Years of Work_QWfEbkj9GgI - transcript (automated).pdf","Transcript Link")</f>
        <v>Transcript Link</v>
      </c>
      <c r="M730" s="2" t="str">
        <f>HYPERLINK("https://files.afu.se/Downloads/Transcripts/0%20-%20Government/USA%20-%20NASA%20Kennedy/2016 11 18 - NASA's Kennedy Space Center - GOES-R  Launch Will Cap Years of Work_QWfEbkj9GgI - transcript (automated).pdf","Transcript Link")</f>
        <v>Transcript Link</v>
      </c>
    </row>
    <row r="731" ht="180" spans="1:13">
      <c r="A731" s="1" t="s">
        <v>3382</v>
      </c>
      <c r="B731" s="1" t="s">
        <v>13</v>
      </c>
      <c r="C731" s="4" t="s">
        <v>3391</v>
      </c>
      <c r="D731" s="1" t="s">
        <v>3392</v>
      </c>
      <c r="E731" s="1" t="s">
        <v>3393</v>
      </c>
      <c r="F731" s="4" t="s">
        <v>17</v>
      </c>
      <c r="G731" s="1" t="s">
        <v>18</v>
      </c>
      <c r="H731" s="1" t="s">
        <v>19</v>
      </c>
      <c r="I731" s="1" t="s">
        <v>20</v>
      </c>
      <c r="J731" s="1" t="s">
        <v>3394</v>
      </c>
      <c r="K731" s="1" t="s">
        <v>22</v>
      </c>
      <c r="L731" s="1" t="str">
        <f>HYPERLINK("https://files.afu.se/Downloads/Transcripts/0%20-%20Government/USA%20-%20NASA%20Kennedy/2016 11 18 - NASA's Kennedy Space Center - GOES-R is Go!_rIgJwyHD9vs - transcript (automated).pdf","Transcript Link")</f>
        <v>Transcript Link</v>
      </c>
      <c r="M731" s="2" t="str">
        <f>HYPERLINK("https://files.afu.se/Downloads/Transcripts/0%20-%20Government/USA%20-%20NASA%20Kennedy/2016 11 18 - NASA's Kennedy Space Center - GOES-R is Go!_rIgJwyHD9vs - transcript (automated).pdf","Transcript Link")</f>
        <v>Transcript Link</v>
      </c>
    </row>
    <row r="732" ht="180" spans="1:13">
      <c r="A732" s="1" t="s">
        <v>3382</v>
      </c>
      <c r="B732" s="1" t="s">
        <v>13</v>
      </c>
      <c r="C732" s="4" t="s">
        <v>3395</v>
      </c>
      <c r="D732" s="1" t="s">
        <v>3396</v>
      </c>
      <c r="E732" s="1" t="s">
        <v>3397</v>
      </c>
      <c r="F732" s="4" t="s">
        <v>17</v>
      </c>
      <c r="G732" s="1" t="s">
        <v>18</v>
      </c>
      <c r="H732" s="1" t="s">
        <v>19</v>
      </c>
      <c r="I732" s="1" t="s">
        <v>20</v>
      </c>
      <c r="J732" s="1" t="s">
        <v>3398</v>
      </c>
      <c r="K732" s="1" t="s">
        <v>22</v>
      </c>
      <c r="L732" s="1" t="str">
        <f>HYPERLINK("https://files.afu.se/Downloads/Transcripts/0%20-%20Government/USA%20-%20NASA%20Kennedy/2016 11 18 - NASA's Kennedy Space Center - The GOES-R Launch Lineup_xSF5GWS01YE - transcript (automated).pdf","Transcript Link")</f>
        <v>Transcript Link</v>
      </c>
      <c r="M732" s="2" t="str">
        <f>HYPERLINK("https://files.afu.se/Downloads/Transcripts/0%20-%20Government/USA%20-%20NASA%20Kennedy/2016 11 18 - NASA's Kennedy Space Center - The GOES-R Launch Lineup_xSF5GWS01YE - transcript (automated).pdf","Transcript Link")</f>
        <v>Transcript Link</v>
      </c>
    </row>
    <row r="733" ht="180" spans="1:13">
      <c r="A733" s="1" t="s">
        <v>3382</v>
      </c>
      <c r="B733" s="1" t="s">
        <v>13</v>
      </c>
      <c r="C733" s="4" t="s">
        <v>3399</v>
      </c>
      <c r="D733" s="1" t="s">
        <v>3400</v>
      </c>
      <c r="E733" s="1" t="s">
        <v>3401</v>
      </c>
      <c r="F733" s="4" t="s">
        <v>17</v>
      </c>
      <c r="G733" s="1" t="s">
        <v>18</v>
      </c>
      <c r="H733" s="1" t="s">
        <v>19</v>
      </c>
      <c r="I733" s="1" t="s">
        <v>20</v>
      </c>
      <c r="J733" s="1" t="s">
        <v>3402</v>
      </c>
      <c r="K733" s="1" t="s">
        <v>22</v>
      </c>
      <c r="L733" s="1" t="str">
        <f>HYPERLINK("https://files.afu.se/Downloads/Transcripts/0%20-%20Government/USA%20-%20NASA%20Kennedy/2016 11 18 - NASA's Kennedy Space Center - GOES-R Will Revolutionize Weather Forecasting_6uE0GuhYtPE - transcript (automated).pdf","Transcript Link")</f>
        <v>Transcript Link</v>
      </c>
      <c r="M733" s="2" t="str">
        <f>HYPERLINK("https://files.afu.se/Downloads/Transcripts/0%20-%20Government/USA%20-%20NASA%20Kennedy/2016 11 18 - NASA's Kennedy Space Center - GOES-R Will Revolutionize Weather Forecasting_6uE0GuhYtPE - transcript (automated).pdf","Transcript Link")</f>
        <v>Transcript Link</v>
      </c>
    </row>
    <row r="734" ht="180" spans="1:13">
      <c r="A734" s="1" t="s">
        <v>3403</v>
      </c>
      <c r="B734" s="1" t="s">
        <v>13</v>
      </c>
      <c r="C734" s="4" t="s">
        <v>3404</v>
      </c>
      <c r="D734" s="1" t="s">
        <v>3405</v>
      </c>
      <c r="E734" s="1" t="s">
        <v>3406</v>
      </c>
      <c r="F734" s="4" t="s">
        <v>17</v>
      </c>
      <c r="G734" s="1" t="s">
        <v>18</v>
      </c>
      <c r="H734" s="1" t="s">
        <v>19</v>
      </c>
      <c r="I734" s="1" t="s">
        <v>20</v>
      </c>
      <c r="J734" s="1" t="s">
        <v>3407</v>
      </c>
      <c r="K734" s="1" t="s">
        <v>22</v>
      </c>
      <c r="L734" s="1" t="str">
        <f>HYPERLINK("https://files.afu.se/Downloads/Transcripts/0%20-%20Government/USA%20-%20NASA%20Kennedy/2016 11 17 - NASA's Kennedy Space Center - Inside KSC! for Nov. 18, 2016_qidg0MzqBeM - transcript (automated).pdf","Transcript Link")</f>
        <v>Transcript Link</v>
      </c>
      <c r="M734" s="2" t="str">
        <f>HYPERLINK("https://files.afu.se/Downloads/Transcripts/0%20-%20Government/USA%20-%20NASA%20Kennedy/2016 11 17 - NASA's Kennedy Space Center - Inside KSC! for Nov. 18, 2016_qidg0MzqBeM - transcript (automated).pdf","Transcript Link")</f>
        <v>Transcript Link</v>
      </c>
    </row>
    <row r="735" ht="180" spans="1:13">
      <c r="A735" s="1" t="s">
        <v>3408</v>
      </c>
      <c r="B735" s="1" t="s">
        <v>13</v>
      </c>
      <c r="C735" s="4" t="s">
        <v>3409</v>
      </c>
      <c r="D735" s="1" t="s">
        <v>3410</v>
      </c>
      <c r="E735" s="1" t="s">
        <v>3411</v>
      </c>
      <c r="F735" s="4" t="s">
        <v>17</v>
      </c>
      <c r="G735" s="1" t="s">
        <v>18</v>
      </c>
      <c r="H735" s="1" t="s">
        <v>19</v>
      </c>
      <c r="I735" s="1" t="s">
        <v>20</v>
      </c>
      <c r="J735" s="1" t="s">
        <v>3412</v>
      </c>
      <c r="K735" s="1" t="s">
        <v>22</v>
      </c>
      <c r="L735" s="1" t="str">
        <f>HYPERLINK("https://files.afu.se/Downloads/Transcripts/0%20-%20Government/USA%20-%20NASA%20Kennedy/2016 11 10 - NASA's Kennedy Space Center - Inside KSC! for Nov. 11, 2016_1kvE-WeUYTo - transcript (automated).pdf","Transcript Link")</f>
        <v>Transcript Link</v>
      </c>
      <c r="M735" s="2" t="str">
        <f>HYPERLINK("https://files.afu.se/Downloads/Transcripts/0%20-%20Government/USA%20-%20NASA%20Kennedy/2016 11 10 - NASA's Kennedy Space Center - Inside KSC! for Nov. 11, 2016_1kvE-WeUYTo - transcript (automated).pdf","Transcript Link")</f>
        <v>Transcript Link</v>
      </c>
    </row>
    <row r="736" ht="180" spans="1:13">
      <c r="A736" s="1" t="s">
        <v>3413</v>
      </c>
      <c r="B736" s="1" t="s">
        <v>13</v>
      </c>
      <c r="C736" s="4" t="s">
        <v>3414</v>
      </c>
      <c r="D736" s="1" t="s">
        <v>3415</v>
      </c>
      <c r="E736" s="1" t="s">
        <v>3416</v>
      </c>
      <c r="F736" s="4" t="s">
        <v>17</v>
      </c>
      <c r="G736" s="1" t="s">
        <v>18</v>
      </c>
      <c r="H736" s="1" t="s">
        <v>19</v>
      </c>
      <c r="I736" s="1" t="s">
        <v>20</v>
      </c>
      <c r="J736" s="1" t="s">
        <v>3417</v>
      </c>
      <c r="K736" s="1" t="s">
        <v>22</v>
      </c>
      <c r="L736" s="1" t="str">
        <f>HYPERLINK("https://files.afu.se/Downloads/Transcripts/0%20-%20Government/USA%20-%20NASA%20Kennedy/2016 11 04 - NASA's Kennedy Space Center - Inside KSC! for Nov. 4, 2016_r_5lZ2S0zTg - transcript (automated).pdf","Transcript Link")</f>
        <v>Transcript Link</v>
      </c>
      <c r="M736" s="2" t="str">
        <f>HYPERLINK("https://files.afu.se/Downloads/Transcripts/0%20-%20Government/USA%20-%20NASA%20Kennedy/2016 11 04 - NASA's Kennedy Space Center - Inside KSC! for Nov. 4, 2016_r_5lZ2S0zTg - transcript (automated).pdf","Transcript Link")</f>
        <v>Transcript Link</v>
      </c>
    </row>
    <row r="737" ht="180" spans="1:13">
      <c r="A737" s="1" t="s">
        <v>3418</v>
      </c>
      <c r="B737" s="1" t="s">
        <v>13</v>
      </c>
      <c r="C737" s="4" t="s">
        <v>3419</v>
      </c>
      <c r="D737" s="1" t="s">
        <v>3420</v>
      </c>
      <c r="E737" s="1" t="s">
        <v>3421</v>
      </c>
      <c r="F737" s="4" t="s">
        <v>17</v>
      </c>
      <c r="G737" s="1" t="s">
        <v>18</v>
      </c>
      <c r="H737" s="1" t="s">
        <v>19</v>
      </c>
      <c r="I737" s="1" t="s">
        <v>20</v>
      </c>
      <c r="J737" s="1" t="s">
        <v>3422</v>
      </c>
      <c r="K737" s="1" t="s">
        <v>22</v>
      </c>
      <c r="L737" s="1" t="str">
        <f>HYPERLINK("https://files.afu.se/Downloads/Transcripts/0%20-%20Government/USA%20-%20NASA%20Kennedy/2016 10 28 - NASA's Kennedy Space Center - Inside KSC! for Oct. 28, 2016_mq0R-PlcqAk - transcript (automated).pdf","Transcript Link")</f>
        <v>Transcript Link</v>
      </c>
      <c r="M737" s="2" t="str">
        <f>HYPERLINK("https://files.afu.se/Downloads/Transcripts/0%20-%20Government/USA%20-%20NASA%20Kennedy/2016 10 28 - NASA's Kennedy Space Center - Inside KSC! for Oct. 28, 2016_mq0R-PlcqAk - transcript (automated).pdf","Transcript Link")</f>
        <v>Transcript Link</v>
      </c>
    </row>
    <row r="738" ht="180" spans="1:13">
      <c r="A738" s="1" t="s">
        <v>3423</v>
      </c>
      <c r="B738" s="1" t="s">
        <v>13</v>
      </c>
      <c r="C738" s="4" t="s">
        <v>3424</v>
      </c>
      <c r="D738" s="1" t="s">
        <v>3425</v>
      </c>
      <c r="E738" s="1" t="s">
        <v>3426</v>
      </c>
      <c r="F738" s="4" t="s">
        <v>17</v>
      </c>
      <c r="G738" s="1" t="s">
        <v>18</v>
      </c>
      <c r="H738" s="1" t="s">
        <v>19</v>
      </c>
      <c r="I738" s="1" t="s">
        <v>20</v>
      </c>
      <c r="J738" s="1" t="s">
        <v>3427</v>
      </c>
      <c r="K738" s="1" t="s">
        <v>22</v>
      </c>
      <c r="L738" s="1" t="str">
        <f>HYPERLINK("https://files.afu.se/Downloads/Transcripts/0%20-%20Government/USA%20-%20NASA%20Kennedy/2016 10 21 - NASA's Kennedy Space Center - Inside KSC! for Oct. 21, 2016  Ver. 2_fJTyac0ifDo - transcript (automated).pdf","Transcript Link")</f>
        <v>Transcript Link</v>
      </c>
      <c r="M738" s="2" t="str">
        <f>HYPERLINK("https://files.afu.se/Downloads/Transcripts/0%20-%20Government/USA%20-%20NASA%20Kennedy/2016 10 21 - NASA's Kennedy Space Center - Inside KSC! for Oct. 21, 2016  Ver. 2_fJTyac0ifDo - transcript (automated).pdf","Transcript Link")</f>
        <v>Transcript Link</v>
      </c>
    </row>
    <row r="739" ht="180" spans="1:13">
      <c r="A739" s="1" t="s">
        <v>3423</v>
      </c>
      <c r="B739" s="1" t="s">
        <v>13</v>
      </c>
      <c r="C739" s="4" t="s">
        <v>3428</v>
      </c>
      <c r="D739" s="1" t="s">
        <v>3429</v>
      </c>
      <c r="E739" s="1" t="s">
        <v>3426</v>
      </c>
      <c r="F739" s="4" t="s">
        <v>17</v>
      </c>
      <c r="G739" s="1" t="s">
        <v>18</v>
      </c>
      <c r="H739" s="1" t="s">
        <v>19</v>
      </c>
      <c r="I739" s="1" t="s">
        <v>20</v>
      </c>
      <c r="J739" s="1" t="s">
        <v>3430</v>
      </c>
      <c r="K739" s="1" t="s">
        <v>22</v>
      </c>
      <c r="L739" s="1" t="str">
        <f>HYPERLINK("https://files.afu.se/Downloads/Transcripts/0%20-%20Government/USA%20-%20NASA%20Kennedy/2016 10 21 - NASA's Kennedy Space Center - Inside KSC! for Oct. 21, 2016_W6hOLMnaicY - transcript (automated).pdf","Transcript Link")</f>
        <v>Transcript Link</v>
      </c>
      <c r="M739" s="2" t="str">
        <f>HYPERLINK("https://files.afu.se/Downloads/Transcripts/0%20-%20Government/USA%20-%20NASA%20Kennedy/2016 10 21 - NASA's Kennedy Space Center - Inside KSC! for Oct. 21, 2016_W6hOLMnaicY - transcript (automated).pdf","Transcript Link")</f>
        <v>Transcript Link</v>
      </c>
    </row>
    <row r="740" ht="180" spans="1:13">
      <c r="A740" s="1" t="s">
        <v>3431</v>
      </c>
      <c r="B740" s="1" t="s">
        <v>13</v>
      </c>
      <c r="C740" s="4" t="s">
        <v>3432</v>
      </c>
      <c r="D740" s="1" t="s">
        <v>3433</v>
      </c>
      <c r="E740" s="1" t="s">
        <v>3434</v>
      </c>
      <c r="F740" s="4" t="s">
        <v>17</v>
      </c>
      <c r="G740" s="1" t="s">
        <v>18</v>
      </c>
      <c r="H740" s="1" t="s">
        <v>19</v>
      </c>
      <c r="I740" s="1" t="s">
        <v>20</v>
      </c>
      <c r="J740" s="1" t="s">
        <v>3435</v>
      </c>
      <c r="K740" s="1" t="s">
        <v>22</v>
      </c>
      <c r="L740" s="1" t="str">
        <f>HYPERLINK("https://files.afu.se/Downloads/Transcripts/0%20-%20Government/USA%20-%20NASA%20Kennedy/2016 10 14 - NASA's Kennedy Space Center - Inside KSC! for Oct. 14, 2016_SlXydcXcNfM - transcript (automated).pdf","Transcript Link")</f>
        <v>Transcript Link</v>
      </c>
      <c r="M740" s="2" t="str">
        <f>HYPERLINK("https://files.afu.se/Downloads/Transcripts/0%20-%20Government/USA%20-%20NASA%20Kennedy/2016 10 14 - NASA's Kennedy Space Center - Inside KSC! for Oct. 14, 2016_SlXydcXcNfM - transcript (automated).pdf","Transcript Link")</f>
        <v>Transcript Link</v>
      </c>
    </row>
    <row r="741" ht="180" spans="1:13">
      <c r="A741" s="1" t="s">
        <v>3436</v>
      </c>
      <c r="B741" s="1" t="s">
        <v>13</v>
      </c>
      <c r="C741" s="4" t="s">
        <v>3437</v>
      </c>
      <c r="D741" s="1" t="s">
        <v>3438</v>
      </c>
      <c r="E741" s="1" t="s">
        <v>3439</v>
      </c>
      <c r="F741" s="4" t="s">
        <v>17</v>
      </c>
      <c r="G741" s="1" t="s">
        <v>18</v>
      </c>
      <c r="H741" s="1" t="s">
        <v>19</v>
      </c>
      <c r="I741" s="1" t="s">
        <v>20</v>
      </c>
      <c r="J741" s="1" t="s">
        <v>3440</v>
      </c>
      <c r="K741" s="1" t="s">
        <v>22</v>
      </c>
      <c r="L741" s="1" t="str">
        <f>HYPERLINK("https://files.afu.se/Downloads/Transcripts/0%20-%20Government/USA%20-%20NASA%20Kennedy/2016 10 11 - NASA's Kennedy Space Center - Aerial Survey of Kennedy Space Center Following Hurricane Matthew_2BUaS2QCeZk - transcript (automated).pdf","Transcript Link")</f>
        <v>Transcript Link</v>
      </c>
      <c r="M741" s="2" t="str">
        <f>HYPERLINK("https://files.afu.se/Downloads/Transcripts/0%20-%20Government/USA%20-%20NASA%20Kennedy/2016 10 11 - NASA's Kennedy Space Center - Aerial Survey of Kennedy Space Center Following Hurricane Matthew_2BUaS2QCeZk - transcript (automated).pdf","Transcript Link")</f>
        <v>Transcript Link</v>
      </c>
    </row>
    <row r="742" ht="180" spans="1:13">
      <c r="A742" s="1" t="s">
        <v>3441</v>
      </c>
      <c r="B742" s="1" t="s">
        <v>13</v>
      </c>
      <c r="C742" s="4" t="s">
        <v>3442</v>
      </c>
      <c r="D742" s="1" t="s">
        <v>3443</v>
      </c>
      <c r="E742" s="1" t="s">
        <v>3444</v>
      </c>
      <c r="F742" s="4" t="s">
        <v>17</v>
      </c>
      <c r="G742" s="1" t="s">
        <v>18</v>
      </c>
      <c r="H742" s="1" t="s">
        <v>19</v>
      </c>
      <c r="I742" s="1" t="s">
        <v>20</v>
      </c>
      <c r="J742" s="1" t="s">
        <v>3445</v>
      </c>
      <c r="K742" s="1" t="s">
        <v>22</v>
      </c>
      <c r="L742" s="1" t="str">
        <f>HYPERLINK("https://files.afu.se/Downloads/Transcripts/0%20-%20Government/USA%20-%20NASA%20Kennedy/2016 10 05 - NASA's Kennedy Space Center - Inside KSC! for Oct. 5, 2016_d10PaWrsWIo - transcript (automated).pdf","Transcript Link")</f>
        <v>Transcript Link</v>
      </c>
      <c r="M742" s="2" t="str">
        <f>HYPERLINK("https://files.afu.se/Downloads/Transcripts/0%20-%20Government/USA%20-%20NASA%20Kennedy/2016 10 05 - NASA's Kennedy Space Center - Inside KSC! for Oct. 5, 2016_d10PaWrsWIo - transcript (automated).pdf","Transcript Link")</f>
        <v>Transcript Link</v>
      </c>
    </row>
    <row r="743" ht="180" spans="1:13">
      <c r="A743" s="1" t="s">
        <v>3446</v>
      </c>
      <c r="B743" s="1" t="s">
        <v>13</v>
      </c>
      <c r="C743" s="4" t="s">
        <v>3447</v>
      </c>
      <c r="D743" s="1" t="s">
        <v>3448</v>
      </c>
      <c r="E743" s="1" t="s">
        <v>3449</v>
      </c>
      <c r="F743" s="4" t="s">
        <v>17</v>
      </c>
      <c r="G743" s="1" t="s">
        <v>18</v>
      </c>
      <c r="H743" s="1" t="s">
        <v>19</v>
      </c>
      <c r="I743" s="1" t="s">
        <v>20</v>
      </c>
      <c r="J743" s="1" t="s">
        <v>3450</v>
      </c>
      <c r="K743" s="1" t="s">
        <v>22</v>
      </c>
      <c r="L743" s="1" t="str">
        <f>HYPERLINK("https://files.afu.se/Downloads/Transcripts/0%20-%20Government/USA%20-%20NASA%20Kennedy/2016 09 30 - NASA's Kennedy Space Center - DUST TO THRUST -- MARCO POLO Mars Pathfinder, RASSOR Tested_cRLnAeL3wdU - transcript (automated).pdf","Transcript Link")</f>
        <v>Transcript Link</v>
      </c>
      <c r="M743" s="2" t="str">
        <f>HYPERLINK("https://files.afu.se/Downloads/Transcripts/0%20-%20Government/USA%20-%20NASA%20Kennedy/2016 09 30 - NASA's Kennedy Space Center - DUST TO THRUST -- MARCO POLO Mars Pathfinder, RASSOR Tested_cRLnAeL3wdU - transcript (automated).pdf","Transcript Link")</f>
        <v>Transcript Link</v>
      </c>
    </row>
    <row r="744" ht="180" spans="1:13">
      <c r="A744" s="1" t="s">
        <v>3446</v>
      </c>
      <c r="B744" s="1" t="s">
        <v>13</v>
      </c>
      <c r="C744" s="4" t="s">
        <v>3451</v>
      </c>
      <c r="D744" s="1" t="s">
        <v>3452</v>
      </c>
      <c r="E744" s="1" t="s">
        <v>3453</v>
      </c>
      <c r="F744" s="4" t="s">
        <v>17</v>
      </c>
      <c r="G744" s="1" t="s">
        <v>18</v>
      </c>
      <c r="H744" s="1" t="s">
        <v>19</v>
      </c>
      <c r="I744" s="1" t="s">
        <v>20</v>
      </c>
      <c r="J744" s="1" t="s">
        <v>3454</v>
      </c>
      <c r="K744" s="1" t="s">
        <v>22</v>
      </c>
      <c r="L744" s="1" t="str">
        <f>HYPERLINK("https://files.afu.se/Downloads/Transcripts/0%20-%20Government/USA%20-%20NASA%20Kennedy/2016 09 30 - NASA's Kennedy Space Center - Inside KSC! for Sept. 30, 2016_iRcrewH3XL4 - transcript (automated).pdf","Transcript Link")</f>
        <v>Transcript Link</v>
      </c>
      <c r="M744" s="2" t="str">
        <f>HYPERLINK("https://files.afu.se/Downloads/Transcripts/0%20-%20Government/USA%20-%20NASA%20Kennedy/2016 09 30 - NASA's Kennedy Space Center - Inside KSC! for Sept. 30, 2016_iRcrewH3XL4 - transcript (automated).pdf","Transcript Link")</f>
        <v>Transcript Link</v>
      </c>
    </row>
    <row r="745" ht="180" spans="1:13">
      <c r="A745" s="1" t="s">
        <v>3455</v>
      </c>
      <c r="B745" s="1" t="s">
        <v>13</v>
      </c>
      <c r="C745" s="4" t="s">
        <v>3456</v>
      </c>
      <c r="D745" s="1" t="s">
        <v>3457</v>
      </c>
      <c r="E745" s="1" t="s">
        <v>3458</v>
      </c>
      <c r="F745" s="4" t="s">
        <v>17</v>
      </c>
      <c r="G745" s="1" t="s">
        <v>18</v>
      </c>
      <c r="H745" s="1" t="s">
        <v>19</v>
      </c>
      <c r="I745" s="1" t="s">
        <v>20</v>
      </c>
      <c r="J745" s="1" t="s">
        <v>3459</v>
      </c>
      <c r="K745" s="1" t="s">
        <v>22</v>
      </c>
      <c r="L745" s="1" t="str">
        <f>HYPERLINK("https://files.afu.se/Downloads/Transcripts/0%20-%20Government/USA%20-%20NASA%20Kennedy/2016 09 28 - NASA's Kennedy Space Center - Divers Train for Orion Recovery at NASA's Johnson Space Center_AM40S4kJETI - transcript (automated).pdf","Transcript Link")</f>
        <v>Transcript Link</v>
      </c>
      <c r="M745" s="2" t="str">
        <f>HYPERLINK("https://files.afu.se/Downloads/Transcripts/0%20-%20Government/USA%20-%20NASA%20Kennedy/2016 09 28 - NASA's Kennedy Space Center - Divers Train for Orion Recovery at NASA's Johnson Space Center_AM40S4kJETI - transcript (automated).pdf","Transcript Link")</f>
        <v>Transcript Link</v>
      </c>
    </row>
    <row r="746" ht="180" spans="1:13">
      <c r="A746" s="1" t="s">
        <v>3460</v>
      </c>
      <c r="B746" s="1" t="s">
        <v>13</v>
      </c>
      <c r="C746" s="4" t="s">
        <v>3461</v>
      </c>
      <c r="D746" s="1" t="s">
        <v>3462</v>
      </c>
      <c r="E746" s="1" t="s">
        <v>3463</v>
      </c>
      <c r="F746" s="4" t="s">
        <v>17</v>
      </c>
      <c r="G746" s="1" t="s">
        <v>18</v>
      </c>
      <c r="H746" s="1" t="s">
        <v>19</v>
      </c>
      <c r="I746" s="1" t="s">
        <v>20</v>
      </c>
      <c r="J746" s="1" t="s">
        <v>3464</v>
      </c>
      <c r="K746" s="1" t="s">
        <v>22</v>
      </c>
      <c r="L746" s="1" t="str">
        <f>HYPERLINK("https://files.afu.se/Downloads/Transcripts/0%20-%20Government/USA%20-%20NASA%20Kennedy/2016 09 23 - NASA's Kennedy Space Center - Inside KSC! for Sept. 23, 2016_4biErxQV4ag - transcript (automated).pdf","Transcript Link")</f>
        <v>Transcript Link</v>
      </c>
      <c r="M746" s="2" t="str">
        <f>HYPERLINK("https://files.afu.se/Downloads/Transcripts/0%20-%20Government/USA%20-%20NASA%20Kennedy/2016 09 23 - NASA's Kennedy Space Center - Inside KSC! for Sept. 23, 2016_4biErxQV4ag - transcript (automated).pdf","Transcript Link")</f>
        <v>Transcript Link</v>
      </c>
    </row>
    <row r="747" ht="180" spans="1:13">
      <c r="A747" s="1" t="s">
        <v>3465</v>
      </c>
      <c r="B747" s="1" t="s">
        <v>13</v>
      </c>
      <c r="C747" s="4" t="s">
        <v>3466</v>
      </c>
      <c r="D747" s="1" t="s">
        <v>3467</v>
      </c>
      <c r="E747" s="1" t="s">
        <v>3468</v>
      </c>
      <c r="F747" s="4" t="s">
        <v>17</v>
      </c>
      <c r="G747" s="1" t="s">
        <v>18</v>
      </c>
      <c r="H747" s="1" t="s">
        <v>19</v>
      </c>
      <c r="I747" s="1" t="s">
        <v>20</v>
      </c>
      <c r="J747" s="1" t="s">
        <v>3469</v>
      </c>
      <c r="K747" s="1" t="s">
        <v>22</v>
      </c>
      <c r="L747" s="1" t="str">
        <f>HYPERLINK("https://files.afu.se/Downloads/Transcripts/0%20-%20Government/USA%20-%20NASA%20Kennedy/2016 09 16 - NASA's Kennedy Space Center - Inside KSC! Sept. 16, 2016_boDt0odsZBY - transcript (automated).pdf","Transcript Link")</f>
        <v>Transcript Link</v>
      </c>
      <c r="M747" s="2" t="str">
        <f>HYPERLINK("https://files.afu.se/Downloads/Transcripts/0%20-%20Government/USA%20-%20NASA%20Kennedy/2016 09 16 - NASA's Kennedy Space Center - Inside KSC! Sept. 16, 2016_boDt0odsZBY - transcript (automated).pdf","Transcript Link")</f>
        <v>Transcript Link</v>
      </c>
    </row>
    <row r="748" ht="180" spans="1:13">
      <c r="A748" s="1" t="s">
        <v>3465</v>
      </c>
      <c r="B748" s="1" t="s">
        <v>13</v>
      </c>
      <c r="C748" s="4" t="s">
        <v>3470</v>
      </c>
      <c r="D748" s="1" t="s">
        <v>3471</v>
      </c>
      <c r="E748" s="1" t="s">
        <v>3472</v>
      </c>
      <c r="F748" s="4" t="s">
        <v>17</v>
      </c>
      <c r="G748" s="1" t="s">
        <v>18</v>
      </c>
      <c r="H748" s="1" t="s">
        <v>19</v>
      </c>
      <c r="I748" s="1" t="s">
        <v>20</v>
      </c>
      <c r="J748" s="1" t="s">
        <v>3473</v>
      </c>
      <c r="K748" s="1" t="s">
        <v>22</v>
      </c>
      <c r="L748" s="1" t="str">
        <f>HYPERLINK("https://files.afu.se/Downloads/Transcripts/0%20-%20Government/USA%20-%20NASA%20Kennedy/2016 09 16 - NASA's Kennedy Space Center - Closer to a New Way Every Day_cLKNzBzGiL4 - transcript (automated).pdf","Transcript Link")</f>
        <v>Transcript Link</v>
      </c>
      <c r="M748" s="2" t="str">
        <f>HYPERLINK("https://files.afu.se/Downloads/Transcripts/0%20-%20Government/USA%20-%20NASA%20Kennedy/2016 09 16 - NASA's Kennedy Space Center - Closer to a New Way Every Day_cLKNzBzGiL4 - transcript (automated).pdf","Transcript Link")</f>
        <v>Transcript Link</v>
      </c>
    </row>
    <row r="749" ht="180" spans="1:13">
      <c r="A749" s="1" t="s">
        <v>3474</v>
      </c>
      <c r="B749" s="1" t="s">
        <v>13</v>
      </c>
      <c r="C749" s="4" t="s">
        <v>3475</v>
      </c>
      <c r="D749" s="1" t="s">
        <v>3476</v>
      </c>
      <c r="E749" s="1" t="s">
        <v>3477</v>
      </c>
      <c r="F749" s="4" t="s">
        <v>17</v>
      </c>
      <c r="G749" s="1" t="s">
        <v>18</v>
      </c>
      <c r="H749" s="1" t="s">
        <v>19</v>
      </c>
      <c r="I749" s="1" t="s">
        <v>20</v>
      </c>
      <c r="J749" s="1" t="s">
        <v>3478</v>
      </c>
      <c r="K749" s="1" t="s">
        <v>22</v>
      </c>
      <c r="L749" s="1" t="str">
        <f>HYPERLINK("https://files.afu.se/Downloads/Transcripts/0%20-%20Government/USA%20-%20NASA%20Kennedy/2016 09 13 - NASA's Kennedy Space Center - What's the Right Rocket to Launch a Robot _JcmjW6mTV64 - transcript (automated).pdf","Transcript Link")</f>
        <v>Transcript Link</v>
      </c>
      <c r="M749" s="2" t="str">
        <f>HYPERLINK("https://files.afu.se/Downloads/Transcripts/0%20-%20Government/USA%20-%20NASA%20Kennedy/2016 09 13 - NASA's Kennedy Space Center - What's the Right Rocket to Launch a Robot _JcmjW6mTV64 - transcript (automated).pdf","Transcript Link")</f>
        <v>Transcript Link</v>
      </c>
    </row>
    <row r="750" ht="180" spans="1:13">
      <c r="A750" s="1" t="s">
        <v>3479</v>
      </c>
      <c r="B750" s="1" t="s">
        <v>13</v>
      </c>
      <c r="C750" s="4" t="s">
        <v>3480</v>
      </c>
      <c r="D750" s="1" t="s">
        <v>3481</v>
      </c>
      <c r="E750" s="1" t="s">
        <v>3482</v>
      </c>
      <c r="F750" s="4" t="s">
        <v>17</v>
      </c>
      <c r="G750" s="1" t="s">
        <v>18</v>
      </c>
      <c r="H750" s="1" t="s">
        <v>19</v>
      </c>
      <c r="I750" s="1" t="s">
        <v>20</v>
      </c>
      <c r="J750" s="1" t="s">
        <v>3483</v>
      </c>
      <c r="K750" s="1" t="s">
        <v>22</v>
      </c>
      <c r="L750" s="1" t="str">
        <f>HYPERLINK("https://files.afu.se/Downloads/Transcripts/0%20-%20Government/USA%20-%20NASA%20Kennedy/2016 09 12 - NASA's Kennedy Space Center - Inside KSC! Sept. 12, 2016_t6Xm5N5UFqc - transcript (automated).pdf","Transcript Link")</f>
        <v>Transcript Link</v>
      </c>
      <c r="M750" s="2" t="str">
        <f>HYPERLINK("https://files.afu.se/Downloads/Transcripts/0%20-%20Government/USA%20-%20NASA%20Kennedy/2016 09 12 - NASA's Kennedy Space Center - Inside KSC! Sept. 12, 2016_t6Xm5N5UFqc - transcript (automated).pdf","Transcript Link")</f>
        <v>Transcript Link</v>
      </c>
    </row>
    <row r="751" ht="180" spans="1:13">
      <c r="A751" s="1" t="s">
        <v>3484</v>
      </c>
      <c r="B751" s="1" t="s">
        <v>13</v>
      </c>
      <c r="C751" s="4" t="s">
        <v>3485</v>
      </c>
      <c r="D751" s="1" t="s">
        <v>3486</v>
      </c>
      <c r="E751" s="1" t="s">
        <v>3487</v>
      </c>
      <c r="F751" s="4" t="s">
        <v>17</v>
      </c>
      <c r="G751" s="1" t="s">
        <v>18</v>
      </c>
      <c r="H751" s="1" t="s">
        <v>19</v>
      </c>
      <c r="I751" s="1" t="s">
        <v>20</v>
      </c>
      <c r="J751" s="1" t="s">
        <v>3488</v>
      </c>
      <c r="K751" s="1" t="s">
        <v>22</v>
      </c>
      <c r="L751" s="1" t="str">
        <f>HYPERLINK("https://files.afu.se/Downloads/Transcripts/0%20-%20Government/USA%20-%20NASA%20Kennedy/2016 09 09 - NASA's Kennedy Space Center - OSIRIS-REx Interview with Ellen Stofan_PIF8zvnEN9c - transcript (automated).pdf","Transcript Link")</f>
        <v>Transcript Link</v>
      </c>
      <c r="M751" s="2" t="str">
        <f>HYPERLINK("https://files.afu.se/Downloads/Transcripts/0%20-%20Government/USA%20-%20NASA%20Kennedy/2016 09 09 - NASA's Kennedy Space Center - OSIRIS-REx Interview with Ellen Stofan_PIF8zvnEN9c - transcript (automated).pdf","Transcript Link")</f>
        <v>Transcript Link</v>
      </c>
    </row>
    <row r="752" ht="180" spans="1:13">
      <c r="A752" s="1" t="s">
        <v>3484</v>
      </c>
      <c r="B752" s="1" t="s">
        <v>13</v>
      </c>
      <c r="C752" s="4" t="s">
        <v>3489</v>
      </c>
      <c r="D752" s="1" t="s">
        <v>3490</v>
      </c>
      <c r="E752" s="1" t="s">
        <v>3491</v>
      </c>
      <c r="F752" s="4" t="s">
        <v>17</v>
      </c>
      <c r="G752" s="1" t="s">
        <v>18</v>
      </c>
      <c r="H752" s="1" t="s">
        <v>19</v>
      </c>
      <c r="I752" s="1" t="s">
        <v>20</v>
      </c>
      <c r="J752" s="1" t="s">
        <v>3492</v>
      </c>
      <c r="K752" s="1" t="s">
        <v>22</v>
      </c>
      <c r="L752" s="1" t="str">
        <f>HYPERLINK("https://files.afu.se/Downloads/Transcripts/0%20-%20Government/USA%20-%20NASA%20Kennedy/2016 09 09 - NASA's Kennedy Space Center - OSIRIS-REx Interview with Jon Cowart_8aNRCbGm52M - transcript (automated).pdf","Transcript Link")</f>
        <v>Transcript Link</v>
      </c>
      <c r="M752" s="2" t="str">
        <f>HYPERLINK("https://files.afu.se/Downloads/Transcripts/0%20-%20Government/USA%20-%20NASA%20Kennedy/2016 09 09 - NASA's Kennedy Space Center - OSIRIS-REx Interview with Jon Cowart_8aNRCbGm52M - transcript (automated).pdf","Transcript Link")</f>
        <v>Transcript Link</v>
      </c>
    </row>
    <row r="753" ht="180" spans="1:13">
      <c r="A753" s="1" t="s">
        <v>3484</v>
      </c>
      <c r="B753" s="1" t="s">
        <v>13</v>
      </c>
      <c r="C753" s="4" t="s">
        <v>3493</v>
      </c>
      <c r="D753" s="1" t="s">
        <v>3494</v>
      </c>
      <c r="E753" s="1" t="s">
        <v>3495</v>
      </c>
      <c r="F753" s="4" t="s">
        <v>17</v>
      </c>
      <c r="G753" s="1" t="s">
        <v>18</v>
      </c>
      <c r="H753" s="1" t="s">
        <v>19</v>
      </c>
      <c r="I753" s="1" t="s">
        <v>20</v>
      </c>
      <c r="J753" s="1" t="s">
        <v>3496</v>
      </c>
      <c r="K753" s="1" t="s">
        <v>22</v>
      </c>
      <c r="L753" s="1" t="str">
        <f>HYPERLINK("https://files.afu.se/Downloads/Transcripts/0%20-%20Government/USA%20-%20NASA%20Kennedy/2016 09 09 - NASA's Kennedy Space Center - NASA Manager Discusses OSIRIS-REx Launch_O8yKyhNqoaA - transcript (automated).pdf","Transcript Link")</f>
        <v>Transcript Link</v>
      </c>
      <c r="M753" s="2" t="str">
        <f>HYPERLINK("https://files.afu.se/Downloads/Transcripts/0%20-%20Government/USA%20-%20NASA%20Kennedy/2016 09 09 - NASA's Kennedy Space Center - NASA Manager Discusses OSIRIS-REx Launch_O8yKyhNqoaA - transcript (automated).pdf","Transcript Link")</f>
        <v>Transcript Link</v>
      </c>
    </row>
    <row r="754" ht="180" spans="1:13">
      <c r="A754" s="1" t="s">
        <v>3497</v>
      </c>
      <c r="B754" s="1" t="s">
        <v>13</v>
      </c>
      <c r="C754" s="4" t="s">
        <v>3498</v>
      </c>
      <c r="D754" s="1" t="s">
        <v>3499</v>
      </c>
      <c r="E754" s="1" t="s">
        <v>3500</v>
      </c>
      <c r="F754" s="4" t="s">
        <v>17</v>
      </c>
      <c r="G754" s="1" t="s">
        <v>18</v>
      </c>
      <c r="H754" s="1" t="s">
        <v>19</v>
      </c>
      <c r="I754" s="1" t="s">
        <v>20</v>
      </c>
      <c r="J754" s="1" t="s">
        <v>3501</v>
      </c>
      <c r="K754" s="1" t="s">
        <v>22</v>
      </c>
      <c r="L754" s="1" t="str">
        <f>HYPERLINK("https://files.afu.se/Downloads/Transcripts/0%20-%20Government/USA%20-%20NASA%20Kennedy/2016 09 08 - NASA's Kennedy Space Center - Liftoff of OSIRIS-REx_ULfQdFY9PQM - transcript (automated).pdf","Transcript Link")</f>
        <v>Transcript Link</v>
      </c>
      <c r="M754" s="2" t="str">
        <f>HYPERLINK("https://files.afu.se/Downloads/Transcripts/0%20-%20Government/USA%20-%20NASA%20Kennedy/2016 09 08 - NASA's Kennedy Space Center - Liftoff of OSIRIS-REx_ULfQdFY9PQM - transcript (automated).pdf","Transcript Link")</f>
        <v>Transcript Link</v>
      </c>
    </row>
    <row r="755" ht="180" spans="1:13">
      <c r="A755" s="1" t="s">
        <v>3497</v>
      </c>
      <c r="B755" s="1" t="s">
        <v>13</v>
      </c>
      <c r="C755" s="4" t="s">
        <v>3502</v>
      </c>
      <c r="D755" s="1" t="s">
        <v>3503</v>
      </c>
      <c r="E755" s="1" t="s">
        <v>3504</v>
      </c>
      <c r="F755" s="4" t="s">
        <v>17</v>
      </c>
      <c r="G755" s="1" t="s">
        <v>18</v>
      </c>
      <c r="H755" s="1" t="s">
        <v>19</v>
      </c>
      <c r="I755" s="1" t="s">
        <v>20</v>
      </c>
      <c r="J755" s="1" t="s">
        <v>3505</v>
      </c>
      <c r="K755" s="1" t="s">
        <v>22</v>
      </c>
      <c r="L755" s="1" t="str">
        <f>HYPERLINK("https://files.afu.se/Downloads/Transcripts/0%20-%20Government/USA%20-%20NASA%20Kennedy/2016 09 08 - NASA's Kennedy Space Center - OSIRIS-REx Ready for Launch_9ZFvkUI5gt4 - transcript (automated).pdf","Transcript Link")</f>
        <v>Transcript Link</v>
      </c>
      <c r="M755" s="2" t="str">
        <f>HYPERLINK("https://files.afu.se/Downloads/Transcripts/0%20-%20Government/USA%20-%20NASA%20Kennedy/2016 09 08 - NASA's Kennedy Space Center - OSIRIS-REx Ready for Launch_9ZFvkUI5gt4 - transcript (automated).pdf","Transcript Link")</f>
        <v>Transcript Link</v>
      </c>
    </row>
    <row r="756" ht="180" spans="1:13">
      <c r="A756" s="1" t="s">
        <v>3497</v>
      </c>
      <c r="B756" s="1" t="s">
        <v>13</v>
      </c>
      <c r="C756" s="4" t="s">
        <v>3506</v>
      </c>
      <c r="D756" s="1" t="s">
        <v>3507</v>
      </c>
      <c r="E756" s="1" t="s">
        <v>3508</v>
      </c>
      <c r="F756" s="4" t="s">
        <v>17</v>
      </c>
      <c r="G756" s="1" t="s">
        <v>18</v>
      </c>
      <c r="H756" s="1" t="s">
        <v>19</v>
      </c>
      <c r="I756" s="1" t="s">
        <v>20</v>
      </c>
      <c r="J756" s="1" t="s">
        <v>3509</v>
      </c>
      <c r="K756" s="1" t="s">
        <v>22</v>
      </c>
      <c r="L756" s="1" t="str">
        <f>HYPERLINK("https://files.afu.se/Downloads/Transcripts/0%20-%20Government/USA%20-%20NASA%20Kennedy/2016 09 08 - NASA's Kennedy Space Center - OSIRIS-REx Countdown is Underway_2hi0IDUKVWg - transcript (automated).pdf","Transcript Link")</f>
        <v>Transcript Link</v>
      </c>
      <c r="M756" s="2" t="str">
        <f>HYPERLINK("https://files.afu.se/Downloads/Transcripts/0%20-%20Government/USA%20-%20NASA%20Kennedy/2016 09 08 - NASA's Kennedy Space Center - OSIRIS-REx Countdown is Underway_2hi0IDUKVWg - transcript (automated).pdf","Transcript Link")</f>
        <v>Transcript Link</v>
      </c>
    </row>
    <row r="757" ht="180" spans="1:13">
      <c r="A757" s="1" t="s">
        <v>3510</v>
      </c>
      <c r="B757" s="1" t="s">
        <v>13</v>
      </c>
      <c r="C757" s="4" t="s">
        <v>3511</v>
      </c>
      <c r="D757" s="1" t="s">
        <v>3512</v>
      </c>
      <c r="E757" s="1" t="s">
        <v>3513</v>
      </c>
      <c r="F757" s="4" t="s">
        <v>17</v>
      </c>
      <c r="G757" s="1" t="s">
        <v>18</v>
      </c>
      <c r="H757" s="1" t="s">
        <v>19</v>
      </c>
      <c r="I757" s="1" t="s">
        <v>20</v>
      </c>
      <c r="J757" s="1" t="s">
        <v>3514</v>
      </c>
      <c r="K757" s="1" t="s">
        <v>22</v>
      </c>
      <c r="L757" s="1" t="str">
        <f>HYPERLINK("https://files.afu.se/Downloads/Transcripts/0%20-%20Government/USA%20-%20NASA%20Kennedy/2016 09 07 - NASA's Kennedy Space Center - OSIRIS-REx Poised for Sampling Run to Asteroid_cynVuXYiif8 - transcript (automated).pdf","Transcript Link")</f>
        <v>Transcript Link</v>
      </c>
      <c r="M757" s="2" t="str">
        <f>HYPERLINK("https://files.afu.se/Downloads/Transcripts/0%20-%20Government/USA%20-%20NASA%20Kennedy/2016 09 07 - NASA's Kennedy Space Center - OSIRIS-REx Poised for Sampling Run to Asteroid_cynVuXYiif8 - transcript (automated).pdf","Transcript Link")</f>
        <v>Transcript Link</v>
      </c>
    </row>
    <row r="758" ht="180" spans="1:13">
      <c r="A758" s="1" t="s">
        <v>3510</v>
      </c>
      <c r="B758" s="1" t="s">
        <v>13</v>
      </c>
      <c r="C758" s="4" t="s">
        <v>3515</v>
      </c>
      <c r="D758" s="1" t="s">
        <v>3516</v>
      </c>
      <c r="E758" s="1" t="s">
        <v>3517</v>
      </c>
      <c r="F758" s="4" t="s">
        <v>17</v>
      </c>
      <c r="G758" s="1" t="s">
        <v>18</v>
      </c>
      <c r="H758" s="1" t="s">
        <v>19</v>
      </c>
      <c r="I758" s="1" t="s">
        <v>20</v>
      </c>
      <c r="J758" s="1" t="s">
        <v>3518</v>
      </c>
      <c r="K758" s="1" t="s">
        <v>22</v>
      </c>
      <c r="L758" s="1" t="str">
        <f>HYPERLINK("https://files.afu.se/Downloads/Transcripts/0%20-%20Government/USA%20-%20NASA%20Kennedy/2016 09 07 - NASA's Kennedy Space Center - Asteroid-Sampling Spacecraft, Atlas V Rocket Ready for Launch_1Uf-X-n6we0 - transcript (automated).pdf","Transcript Link")</f>
        <v>Transcript Link</v>
      </c>
      <c r="M758" s="2" t="str">
        <f>HYPERLINK("https://files.afu.se/Downloads/Transcripts/0%20-%20Government/USA%20-%20NASA%20Kennedy/2016 09 07 - NASA's Kennedy Space Center - Asteroid-Sampling Spacecraft, Atlas V Rocket Ready for Launch_1Uf-X-n6we0 - transcript (automated).pdf","Transcript Link")</f>
        <v>Transcript Link</v>
      </c>
    </row>
    <row r="759" ht="180" spans="1:13">
      <c r="A759" s="1" t="s">
        <v>3519</v>
      </c>
      <c r="B759" s="1" t="s">
        <v>13</v>
      </c>
      <c r="C759" s="4" t="s">
        <v>3520</v>
      </c>
      <c r="D759" s="1" t="s">
        <v>3521</v>
      </c>
      <c r="E759" s="1" t="s">
        <v>3522</v>
      </c>
      <c r="F759" s="4" t="s">
        <v>17</v>
      </c>
      <c r="G759" s="1" t="s">
        <v>18</v>
      </c>
      <c r="H759" s="1" t="s">
        <v>19</v>
      </c>
      <c r="I759" s="1" t="s">
        <v>20</v>
      </c>
      <c r="J759" s="1" t="s">
        <v>3523</v>
      </c>
      <c r="K759" s="1" t="s">
        <v>22</v>
      </c>
      <c r="L759" s="1" t="str">
        <f>HYPERLINK("https://files.afu.se/Downloads/Transcripts/0%20-%20Government/USA%20-%20NASA%20Kennedy/2016 09 02 - NASA's Kennedy Space Center - Inside KSC! Sept. 2, 2016_NpMPNqdRA2A - transcript (automated).pdf","Transcript Link")</f>
        <v>Transcript Link</v>
      </c>
      <c r="M759" s="2" t="str">
        <f>HYPERLINK("https://files.afu.se/Downloads/Transcripts/0%20-%20Government/USA%20-%20NASA%20Kennedy/2016 09 02 - NASA's Kennedy Space Center - Inside KSC! Sept. 2, 2016_NpMPNqdRA2A - transcript (automated).pdf","Transcript Link")</f>
        <v>Transcript Link</v>
      </c>
    </row>
    <row r="760" ht="180" spans="1:13">
      <c r="A760" s="1" t="s">
        <v>3524</v>
      </c>
      <c r="B760" s="1" t="s">
        <v>13</v>
      </c>
      <c r="C760" s="4" t="s">
        <v>3525</v>
      </c>
      <c r="D760" s="1" t="s">
        <v>3526</v>
      </c>
      <c r="E760" s="1" t="s">
        <v>3527</v>
      </c>
      <c r="F760" s="4" t="s">
        <v>17</v>
      </c>
      <c r="G760" s="1" t="s">
        <v>18</v>
      </c>
      <c r="H760" s="1" t="s">
        <v>19</v>
      </c>
      <c r="I760" s="1" t="s">
        <v>20</v>
      </c>
      <c r="J760" s="1" t="s">
        <v>3528</v>
      </c>
      <c r="K760" s="1" t="s">
        <v>22</v>
      </c>
      <c r="L760" s="1" t="str">
        <f>HYPERLINK("https://files.afu.se/Downloads/Transcripts/0%20-%20Government/USA%20-%20NASA%20Kennedy/2016 08 26 - NASA's Kennedy Space Center - Inside KSC! Aug. 26, 2016_xjK1Es_h3UY - transcript (automated).pdf","Transcript Link")</f>
        <v>Transcript Link</v>
      </c>
      <c r="M760" s="2" t="str">
        <f>HYPERLINK("https://files.afu.se/Downloads/Transcripts/0%20-%20Government/USA%20-%20NASA%20Kennedy/2016 08 26 - NASA's Kennedy Space Center - Inside KSC! Aug. 26, 2016_xjK1Es_h3UY - transcript (automated).pdf","Transcript Link")</f>
        <v>Transcript Link</v>
      </c>
    </row>
    <row r="761" ht="180" spans="1:13">
      <c r="A761" s="1" t="s">
        <v>3529</v>
      </c>
      <c r="B761" s="1" t="s">
        <v>13</v>
      </c>
      <c r="C761" s="4" t="s">
        <v>3530</v>
      </c>
      <c r="D761" s="1" t="s">
        <v>3531</v>
      </c>
      <c r="E761" s="1" t="s">
        <v>3532</v>
      </c>
      <c r="F761" s="4" t="s">
        <v>17</v>
      </c>
      <c r="G761" s="1" t="s">
        <v>18</v>
      </c>
      <c r="H761" s="1" t="s">
        <v>19</v>
      </c>
      <c r="I761" s="1" t="s">
        <v>20</v>
      </c>
      <c r="J761" s="1" t="s">
        <v>3533</v>
      </c>
      <c r="K761" s="1" t="s">
        <v>22</v>
      </c>
      <c r="L761" s="1" t="str">
        <f>HYPERLINK("https://files.afu.se/Downloads/Transcripts/0%20-%20Government/USA%20-%20NASA%20Kennedy/2016 08 19 - NASA's Kennedy Space Center - Inside KSC! for Aug. 19, 2016_s5q28w6yjy4 - transcript (automated).pdf","Transcript Link")</f>
        <v>Transcript Link</v>
      </c>
      <c r="M761" s="2" t="str">
        <f>HYPERLINK("https://files.afu.se/Downloads/Transcripts/0%20-%20Government/USA%20-%20NASA%20Kennedy/2016 08 19 - NASA's Kennedy Space Center - Inside KSC! for Aug. 19, 2016_s5q28w6yjy4 - transcript (automated).pdf","Transcript Link")</f>
        <v>Transcript Link</v>
      </c>
    </row>
    <row r="762" ht="180" spans="1:13">
      <c r="A762" s="1" t="s">
        <v>3534</v>
      </c>
      <c r="B762" s="1" t="s">
        <v>13</v>
      </c>
      <c r="C762" s="4" t="s">
        <v>3535</v>
      </c>
      <c r="D762" s="1" t="s">
        <v>3536</v>
      </c>
      <c r="E762" s="1" t="s">
        <v>3537</v>
      </c>
      <c r="F762" s="4" t="s">
        <v>17</v>
      </c>
      <c r="G762" s="1" t="s">
        <v>18</v>
      </c>
      <c r="H762" s="1" t="s">
        <v>19</v>
      </c>
      <c r="I762" s="1" t="s">
        <v>20</v>
      </c>
      <c r="J762" s="1" t="s">
        <v>3538</v>
      </c>
      <c r="K762" s="1" t="s">
        <v>22</v>
      </c>
      <c r="L762" s="1" t="str">
        <f>HYPERLINK("https://files.afu.se/Downloads/Transcripts/0%20-%20Government/USA%20-%20NASA%20Kennedy/2016 08 18 - NASA's Kennedy Space Center - Crew Flight Test Engine Hot Fired_Saaq1yMxt84 - transcript (automated).pdf","Transcript Link")</f>
        <v>Transcript Link</v>
      </c>
      <c r="M762" s="2" t="str">
        <f>HYPERLINK("https://files.afu.se/Downloads/Transcripts/0%20-%20Government/USA%20-%20NASA%20Kennedy/2016 08 18 - NASA's Kennedy Space Center - Crew Flight Test Engine Hot Fired_Saaq1yMxt84 - transcript (automated).pdf","Transcript Link")</f>
        <v>Transcript Link</v>
      </c>
    </row>
    <row r="763" ht="180" spans="1:13">
      <c r="A763" s="1" t="s">
        <v>3539</v>
      </c>
      <c r="B763" s="1" t="s">
        <v>13</v>
      </c>
      <c r="C763" s="4" t="s">
        <v>3540</v>
      </c>
      <c r="D763" s="1" t="s">
        <v>3541</v>
      </c>
      <c r="E763" s="1" t="s">
        <v>3542</v>
      </c>
      <c r="F763" s="4" t="s">
        <v>17</v>
      </c>
      <c r="G763" s="1" t="s">
        <v>18</v>
      </c>
      <c r="H763" s="1" t="s">
        <v>19</v>
      </c>
      <c r="I763" s="1" t="s">
        <v>20</v>
      </c>
      <c r="J763" s="1" t="s">
        <v>3543</v>
      </c>
      <c r="K763" s="1" t="s">
        <v>22</v>
      </c>
      <c r="L763" s="1" t="str">
        <f>HYPERLINK("https://files.afu.se/Downloads/Transcripts/0%20-%20Government/USA%20-%20NASA%20Kennedy/2016 08 15 - NASA's Kennedy Space Center - Starliner Crew Access Arm Installed at SLC-41_Y8r6lAOOCHc - transcript (automated).pdf","Transcript Link")</f>
        <v>Transcript Link</v>
      </c>
      <c r="M763" s="2" t="str">
        <f>HYPERLINK("https://files.afu.se/Downloads/Transcripts/0%20-%20Government/USA%20-%20NASA%20Kennedy/2016 08 15 - NASA's Kennedy Space Center - Starliner Crew Access Arm Installed at SLC-41_Y8r6lAOOCHc - transcript (automated).pdf","Transcript Link")</f>
        <v>Transcript Link</v>
      </c>
    </row>
    <row r="764" ht="180" spans="1:13">
      <c r="A764" s="1" t="s">
        <v>3539</v>
      </c>
      <c r="B764" s="1" t="s">
        <v>13</v>
      </c>
      <c r="C764" s="4" t="s">
        <v>3544</v>
      </c>
      <c r="D764" s="1" t="s">
        <v>3545</v>
      </c>
      <c r="E764" s="1" t="s">
        <v>3546</v>
      </c>
      <c r="F764" s="4" t="s">
        <v>17</v>
      </c>
      <c r="G764" s="1" t="s">
        <v>18</v>
      </c>
      <c r="H764" s="1" t="s">
        <v>19</v>
      </c>
      <c r="I764" s="1" t="s">
        <v>20</v>
      </c>
      <c r="J764" s="1" t="s">
        <v>3547</v>
      </c>
      <c r="K764" s="1" t="s">
        <v>22</v>
      </c>
      <c r="L764" s="1" t="str">
        <f>HYPERLINK("https://files.afu.se/Downloads/Transcripts/0%20-%20Government/USA%20-%20NASA%20Kennedy/2016 08 15 - NASA's Kennedy Space Center - Inside KSC! for Aug. 12, 2016_FVL-C328CHQ - transcript (automated).pdf","Transcript Link")</f>
        <v>Transcript Link</v>
      </c>
      <c r="M764" s="2" t="str">
        <f>HYPERLINK("https://files.afu.se/Downloads/Transcripts/0%20-%20Government/USA%20-%20NASA%20Kennedy/2016 08 15 - NASA's Kennedy Space Center - Inside KSC! for Aug. 12, 2016_FVL-C328CHQ - transcript (automated).pdf","Transcript Link")</f>
        <v>Transcript Link</v>
      </c>
    </row>
    <row r="765" ht="180" spans="1:13">
      <c r="A765" s="1" t="s">
        <v>3548</v>
      </c>
      <c r="B765" s="1" t="s">
        <v>13</v>
      </c>
      <c r="C765" s="4" t="s">
        <v>3549</v>
      </c>
      <c r="D765" s="1" t="s">
        <v>3550</v>
      </c>
      <c r="E765" s="1" t="s">
        <v>3551</v>
      </c>
      <c r="F765" s="4" t="s">
        <v>17</v>
      </c>
      <c r="G765" s="1" t="s">
        <v>18</v>
      </c>
      <c r="H765" s="1" t="s">
        <v>19</v>
      </c>
      <c r="I765" s="1" t="s">
        <v>20</v>
      </c>
      <c r="J765" s="1" t="s">
        <v>3552</v>
      </c>
      <c r="K765" s="1" t="s">
        <v>22</v>
      </c>
      <c r="L765" s="1" t="str">
        <f>HYPERLINK("https://files.afu.se/Downloads/Transcripts/0%20-%20Government/USA%20-%20NASA%20Kennedy/2016 08 09 - NASA's Kennedy Space Center - Inside KSC! for Aug. 5, 2016_cOXceSRMcjA - transcript (automated).pdf","Transcript Link")</f>
        <v>Transcript Link</v>
      </c>
      <c r="M765" s="2" t="str">
        <f>HYPERLINK("https://files.afu.se/Downloads/Transcripts/0%20-%20Government/USA%20-%20NASA%20Kennedy/2016 08 09 - NASA's Kennedy Space Center - Inside KSC! for Aug. 5, 2016_cOXceSRMcjA - transcript (automated).pdf","Transcript Link")</f>
        <v>Transcript Link</v>
      </c>
    </row>
    <row r="766" ht="180" spans="1:13">
      <c r="A766" s="1" t="s">
        <v>3553</v>
      </c>
      <c r="B766" s="1" t="s">
        <v>13</v>
      </c>
      <c r="C766" s="4" t="s">
        <v>3554</v>
      </c>
      <c r="D766" s="1" t="s">
        <v>3555</v>
      </c>
      <c r="E766" s="1" t="s">
        <v>3556</v>
      </c>
      <c r="F766" s="4" t="s">
        <v>17</v>
      </c>
      <c r="G766" s="1" t="s">
        <v>18</v>
      </c>
      <c r="H766" s="1" t="s">
        <v>19</v>
      </c>
      <c r="I766" s="1" t="s">
        <v>20</v>
      </c>
      <c r="J766" s="1" t="s">
        <v>3557</v>
      </c>
      <c r="K766" s="1" t="s">
        <v>22</v>
      </c>
      <c r="L766" s="1" t="str">
        <f>HYPERLINK("https://files.afu.se/Downloads/Transcripts/0%20-%20Government/USA%20-%20NASA%20Kennedy/2016 08 03 - NASA's Kennedy Space Center - View Platform Installation Midpoint in 360-degree View_at3cCCstD2Q - transcript (automated).pdf","Transcript Link")</f>
        <v>Transcript Link</v>
      </c>
      <c r="M766" s="2" t="str">
        <f>HYPERLINK("https://files.afu.se/Downloads/Transcripts/0%20-%20Government/USA%20-%20NASA%20Kennedy/2016 08 03 - NASA's Kennedy Space Center - View Platform Installation Midpoint in 360-degree View_at3cCCstD2Q - transcript (automated).pdf","Transcript Link")</f>
        <v>Transcript Link</v>
      </c>
    </row>
    <row r="767" ht="180" spans="1:13">
      <c r="A767" s="1" t="s">
        <v>3558</v>
      </c>
      <c r="B767" s="1" t="s">
        <v>13</v>
      </c>
      <c r="C767" s="4" t="s">
        <v>3559</v>
      </c>
      <c r="D767" s="1" t="s">
        <v>3560</v>
      </c>
      <c r="E767" s="1" t="s">
        <v>3561</v>
      </c>
      <c r="F767" s="4" t="s">
        <v>17</v>
      </c>
      <c r="G767" s="1" t="s">
        <v>18</v>
      </c>
      <c r="H767" s="1" t="s">
        <v>19</v>
      </c>
      <c r="I767" s="1" t="s">
        <v>20</v>
      </c>
      <c r="J767" s="1" t="s">
        <v>3562</v>
      </c>
      <c r="K767" s="1" t="s">
        <v>22</v>
      </c>
      <c r="L767" s="1" t="str">
        <f>HYPERLINK("https://files.afu.se/Downloads/Transcripts/0%20-%20Government/USA%20-%20NASA%20Kennedy/2016 07 29 - NASA's Kennedy Space Center - Inside KSC! July 29, 2016_8SCqZ7NOvZs - transcript (automated).pdf","Transcript Link")</f>
        <v>Transcript Link</v>
      </c>
      <c r="M767" s="2" t="str">
        <f>HYPERLINK("https://files.afu.se/Downloads/Transcripts/0%20-%20Government/USA%20-%20NASA%20Kennedy/2016 07 29 - NASA's Kennedy Space Center - Inside KSC! July 29, 2016_8SCqZ7NOvZs - transcript (automated).pdf","Transcript Link")</f>
        <v>Transcript Link</v>
      </c>
    </row>
    <row r="768" ht="180" spans="1:13">
      <c r="A768" s="1" t="s">
        <v>3563</v>
      </c>
      <c r="B768" s="1" t="s">
        <v>13</v>
      </c>
      <c r="C768" s="4" t="s">
        <v>3564</v>
      </c>
      <c r="D768" s="1" t="s">
        <v>3565</v>
      </c>
      <c r="E768" s="1" t="s">
        <v>3566</v>
      </c>
      <c r="F768" s="4" t="s">
        <v>17</v>
      </c>
      <c r="G768" s="1" t="s">
        <v>18</v>
      </c>
      <c r="H768" s="1" t="s">
        <v>19</v>
      </c>
      <c r="I768" s="1" t="s">
        <v>20</v>
      </c>
      <c r="J768" s="1" t="s">
        <v>3567</v>
      </c>
      <c r="K768" s="1" t="s">
        <v>22</v>
      </c>
      <c r="L768" s="1" t="str">
        <f>HYPERLINK("https://files.afu.se/Downloads/Transcripts/0%20-%20Government/USA%20-%20NASA%20Kennedy/2016 07 21 - NASA's Kennedy Space Center - Inside KSC! July 22, 2016_XQYkdOPqkWc - transcript (automated).pdf","Transcript Link")</f>
        <v>Transcript Link</v>
      </c>
      <c r="M768" s="2" t="str">
        <f>HYPERLINK("https://files.afu.se/Downloads/Transcripts/0%20-%20Government/USA%20-%20NASA%20Kennedy/2016 07 21 - NASA's Kennedy Space Center - Inside KSC! July 22, 2016_XQYkdOPqkWc - transcript (automated).pdf","Transcript Link")</f>
        <v>Transcript Link</v>
      </c>
    </row>
    <row r="769" ht="180" spans="1:13">
      <c r="A769" s="1" t="s">
        <v>3568</v>
      </c>
      <c r="B769" s="1" t="s">
        <v>13</v>
      </c>
      <c r="C769" s="4" t="s">
        <v>3569</v>
      </c>
      <c r="D769" s="1" t="s">
        <v>3570</v>
      </c>
      <c r="E769" s="1" t="s">
        <v>3571</v>
      </c>
      <c r="F769" s="4" t="s">
        <v>17</v>
      </c>
      <c r="G769" s="1" t="s">
        <v>18</v>
      </c>
      <c r="H769" s="1" t="s">
        <v>19</v>
      </c>
      <c r="I769" s="1" t="s">
        <v>20</v>
      </c>
      <c r="J769" s="1" t="s">
        <v>3572</v>
      </c>
      <c r="K769" s="1" t="s">
        <v>22</v>
      </c>
      <c r="L769" s="1" t="str">
        <f>HYPERLINK("https://files.afu.se/Downloads/Transcripts/0%20-%20Government/USA%20-%20NASA%20Kennedy/2016 07 18 - NASA's Kennedy Space Center - Liftoff of SpaceX CRS-9_Z7ADMA1eRFQ - transcript (automated).pdf","Transcript Link")</f>
        <v>Transcript Link</v>
      </c>
      <c r="M769" s="2" t="str">
        <f>HYPERLINK("https://files.afu.se/Downloads/Transcripts/0%20-%20Government/USA%20-%20NASA%20Kennedy/2016 07 18 - NASA's Kennedy Space Center - Liftoff of SpaceX CRS-9_Z7ADMA1eRFQ - transcript (automated).pdf","Transcript Link")</f>
        <v>Transcript Link</v>
      </c>
    </row>
    <row r="770" ht="180" spans="1:13">
      <c r="A770" s="1" t="s">
        <v>3573</v>
      </c>
      <c r="B770" s="1" t="s">
        <v>13</v>
      </c>
      <c r="C770" s="4" t="s">
        <v>3574</v>
      </c>
      <c r="D770" s="1" t="s">
        <v>3575</v>
      </c>
      <c r="E770" s="1" t="s">
        <v>3576</v>
      </c>
      <c r="F770" s="4" t="s">
        <v>17</v>
      </c>
      <c r="G770" s="1" t="s">
        <v>18</v>
      </c>
      <c r="H770" s="1" t="s">
        <v>19</v>
      </c>
      <c r="I770" s="1" t="s">
        <v>20</v>
      </c>
      <c r="J770" s="1" t="s">
        <v>3577</v>
      </c>
      <c r="K770" s="1" t="s">
        <v>22</v>
      </c>
      <c r="L770" s="1" t="str">
        <f>HYPERLINK("https://files.afu.se/Downloads/Transcripts/0%20-%20Government/USA%20-%20NASA%20Kennedy/2016 07 15 - NASA's Kennedy Space Center - Inside KSC! July 16, 2016_RlN6_3_h8M0 - transcript (automated).pdf","Transcript Link")</f>
        <v>Transcript Link</v>
      </c>
      <c r="M770" s="2" t="str">
        <f>HYPERLINK("https://files.afu.se/Downloads/Transcripts/0%20-%20Government/USA%20-%20NASA%20Kennedy/2016 07 15 - NASA's Kennedy Space Center - Inside KSC! July 16, 2016_RlN6_3_h8M0 - transcript (automated).pdf","Transcript Link")</f>
        <v>Transcript Link</v>
      </c>
    </row>
    <row r="771" ht="180" spans="1:13">
      <c r="A771" s="1" t="s">
        <v>3578</v>
      </c>
      <c r="B771" s="1" t="s">
        <v>13</v>
      </c>
      <c r="C771" s="4" t="s">
        <v>3579</v>
      </c>
      <c r="D771" s="1" t="s">
        <v>3580</v>
      </c>
      <c r="E771" s="1" t="s">
        <v>3581</v>
      </c>
      <c r="F771" s="4" t="s">
        <v>17</v>
      </c>
      <c r="G771" s="1" t="s">
        <v>18</v>
      </c>
      <c r="H771" s="1" t="s">
        <v>19</v>
      </c>
      <c r="I771" s="1" t="s">
        <v>20</v>
      </c>
      <c r="J771" s="1" t="s">
        <v>3582</v>
      </c>
      <c r="K771" s="1" t="s">
        <v>22</v>
      </c>
      <c r="L771" s="1" t="str">
        <f>HYPERLINK("https://files.afu.se/Downloads/Transcripts/0%20-%20Government/USA%20-%20NASA%20Kennedy/2016 07 08 - NASA's Kennedy Space Center - Inside KSC! July 8, 2016_3cqqzh7oi7k - transcript (automated).pdf","Transcript Link")</f>
        <v>Transcript Link</v>
      </c>
      <c r="M771" s="2" t="str">
        <f>HYPERLINK("https://files.afu.se/Downloads/Transcripts/0%20-%20Government/USA%20-%20NASA%20Kennedy/2016 07 08 - NASA's Kennedy Space Center - Inside KSC! July 8, 2016_3cqqzh7oi7k - transcript (automated).pdf","Transcript Link")</f>
        <v>Transcript Link</v>
      </c>
    </row>
    <row r="772" ht="180" spans="1:13">
      <c r="A772" s="1" t="s">
        <v>3583</v>
      </c>
      <c r="B772" s="1" t="s">
        <v>13</v>
      </c>
      <c r="C772" s="4" t="s">
        <v>3584</v>
      </c>
      <c r="D772" s="1" t="s">
        <v>3585</v>
      </c>
      <c r="E772" s="1" t="s">
        <v>3586</v>
      </c>
      <c r="F772" s="4" t="s">
        <v>17</v>
      </c>
      <c r="G772" s="1" t="s">
        <v>18</v>
      </c>
      <c r="H772" s="1" t="s">
        <v>19</v>
      </c>
      <c r="I772" s="1" t="s">
        <v>20</v>
      </c>
      <c r="J772" s="1" t="s">
        <v>3587</v>
      </c>
      <c r="K772" s="1" t="s">
        <v>22</v>
      </c>
      <c r="L772" s="1" t="str">
        <f>HYPERLINK("https://files.afu.se/Downloads/Transcripts/0%20-%20Government/USA%20-%20NASA%20Kennedy/2016 07 01 - NASA's Kennedy Space Center - Inside KSC! July 1, 2016_silrQqvMyqg - transcript (automated).pdf","Transcript Link")</f>
        <v>Transcript Link</v>
      </c>
      <c r="M772" s="2" t="str">
        <f>HYPERLINK("https://files.afu.se/Downloads/Transcripts/0%20-%20Government/USA%20-%20NASA%20Kennedy/2016 07 01 - NASA's Kennedy Space Center - Inside KSC! July 1, 2016_silrQqvMyqg - transcript (automated).pdf","Transcript Link")</f>
        <v>Transcript Link</v>
      </c>
    </row>
    <row r="773" ht="180" spans="1:13">
      <c r="A773" s="1" t="s">
        <v>3588</v>
      </c>
      <c r="B773" s="1" t="s">
        <v>13</v>
      </c>
      <c r="C773" s="4" t="s">
        <v>3589</v>
      </c>
      <c r="D773" s="1" t="s">
        <v>3590</v>
      </c>
      <c r="E773" s="1" t="s">
        <v>3591</v>
      </c>
      <c r="F773" s="4" t="s">
        <v>17</v>
      </c>
      <c r="G773" s="1" t="s">
        <v>18</v>
      </c>
      <c r="H773" s="1" t="s">
        <v>19</v>
      </c>
      <c r="I773" s="1" t="s">
        <v>20</v>
      </c>
      <c r="J773" s="1" t="s">
        <v>3592</v>
      </c>
      <c r="K773" s="1" t="s">
        <v>22</v>
      </c>
      <c r="L773" s="1" t="str">
        <f>HYPERLINK("https://files.afu.se/Downloads/Transcripts/0%20-%20Government/USA%20-%20NASA%20Kennedy/2016 06 24 - NASA's Kennedy Space Center - Inside KSC!  June 24, 2016_3kqdzZcejM0 - transcript (automated).pdf","Transcript Link")</f>
        <v>Transcript Link</v>
      </c>
      <c r="M773" s="2" t="str">
        <f>HYPERLINK("https://files.afu.se/Downloads/Transcripts/0%20-%20Government/USA%20-%20NASA%20Kennedy/2016 06 24 - NASA's Kennedy Space Center - Inside KSC!  June 24, 2016_3kqdzZcejM0 - transcript (automated).pdf","Transcript Link")</f>
        <v>Transcript Link</v>
      </c>
    </row>
    <row r="774" ht="180" spans="1:13">
      <c r="A774" s="1" t="s">
        <v>3593</v>
      </c>
      <c r="B774" s="1" t="s">
        <v>13</v>
      </c>
      <c r="C774" s="4" t="s">
        <v>3594</v>
      </c>
      <c r="D774" s="1" t="s">
        <v>3595</v>
      </c>
      <c r="E774" s="1" t="s">
        <v>3596</v>
      </c>
      <c r="F774" s="4" t="s">
        <v>17</v>
      </c>
      <c r="G774" s="1" t="s">
        <v>18</v>
      </c>
      <c r="H774" s="1" t="s">
        <v>19</v>
      </c>
      <c r="I774" s="1" t="s">
        <v>20</v>
      </c>
      <c r="J774" s="1" t="s">
        <v>3597</v>
      </c>
      <c r="K774" s="1" t="s">
        <v>22</v>
      </c>
      <c r="L774" s="1" t="str">
        <f>HYPERLINK("https://files.afu.se/Downloads/Transcripts/0%20-%20Government/USA%20-%20NASA%20Kennedy/2016 06 17 - NASA's Kennedy Space Center - Inside KSC! June 17, 2016_0Ul77wuXAWs - transcript (automated).pdf","Transcript Link")</f>
        <v>Transcript Link</v>
      </c>
      <c r="M774" s="2" t="str">
        <f>HYPERLINK("https://files.afu.se/Downloads/Transcripts/0%20-%20Government/USA%20-%20NASA%20Kennedy/2016 06 17 - NASA's Kennedy Space Center - Inside KSC! June 17, 2016_0Ul77wuXAWs - transcript (automated).pdf","Transcript Link")</f>
        <v>Transcript Link</v>
      </c>
    </row>
    <row r="775" ht="180" spans="1:13">
      <c r="A775" s="1" t="s">
        <v>3598</v>
      </c>
      <c r="B775" s="1" t="s">
        <v>13</v>
      </c>
      <c r="C775" s="4" t="s">
        <v>3599</v>
      </c>
      <c r="D775" s="1" t="s">
        <v>3600</v>
      </c>
      <c r="E775" s="1" t="s">
        <v>3601</v>
      </c>
      <c r="F775" s="4" t="s">
        <v>17</v>
      </c>
      <c r="G775" s="1" t="s">
        <v>18</v>
      </c>
      <c r="H775" s="1" t="s">
        <v>19</v>
      </c>
      <c r="I775" s="1" t="s">
        <v>20</v>
      </c>
      <c r="J775" s="1" t="s">
        <v>3602</v>
      </c>
      <c r="K775" s="1" t="s">
        <v>22</v>
      </c>
      <c r="L775" s="1" t="str">
        <f>HYPERLINK("https://files.afu.se/Downloads/Transcripts/0%20-%20Government/USA%20-%20NASA%20Kennedy/2016 06 10 - NASA's Kennedy Space Center - Inside KSC! June 10, 2016_3ENAW5KmELE - transcript (automated).pdf","Transcript Link")</f>
        <v>Transcript Link</v>
      </c>
      <c r="M775" s="2" t="str">
        <f>HYPERLINK("https://files.afu.se/Downloads/Transcripts/0%20-%20Government/USA%20-%20NASA%20Kennedy/2016 06 10 - NASA's Kennedy Space Center - Inside KSC! June 10, 2016_3ENAW5KmELE - transcript (automated).pdf","Transcript Link")</f>
        <v>Transcript Link</v>
      </c>
    </row>
    <row r="776" ht="180" spans="1:13">
      <c r="A776" s="1" t="s">
        <v>3603</v>
      </c>
      <c r="B776" s="1" t="s">
        <v>13</v>
      </c>
      <c r="C776" s="4" t="s">
        <v>3604</v>
      </c>
      <c r="D776" s="1" t="s">
        <v>3605</v>
      </c>
      <c r="E776" s="1" t="s">
        <v>3606</v>
      </c>
      <c r="F776" s="4" t="s">
        <v>17</v>
      </c>
      <c r="G776" s="1" t="s">
        <v>18</v>
      </c>
      <c r="H776" s="1" t="s">
        <v>19</v>
      </c>
      <c r="I776" s="1" t="s">
        <v>20</v>
      </c>
      <c r="J776" s="1" t="s">
        <v>3607</v>
      </c>
      <c r="K776" s="1" t="s">
        <v>22</v>
      </c>
      <c r="L776" s="1" t="str">
        <f>HYPERLINK("https://files.afu.se/Downloads/Transcripts/0%20-%20Government/USA%20-%20NASA%20Kennedy/2016 06 06 - NASA's Kennedy Space Center - Starliner Elements Arrive for Spacecraft 1_Q3G-KIuzguY - transcript (automated).pdf","Transcript Link")</f>
        <v>Transcript Link</v>
      </c>
      <c r="M776" s="2" t="str">
        <f>HYPERLINK("https://files.afu.se/Downloads/Transcripts/0%20-%20Government/USA%20-%20NASA%20Kennedy/2016 06 06 - NASA's Kennedy Space Center - Starliner Elements Arrive for Spacecraft 1_Q3G-KIuzguY - transcript (automated).pdf","Transcript Link")</f>
        <v>Transcript Link</v>
      </c>
    </row>
    <row r="777" ht="180" spans="1:13">
      <c r="A777" s="1" t="s">
        <v>3608</v>
      </c>
      <c r="B777" s="1" t="s">
        <v>13</v>
      </c>
      <c r="C777" s="4" t="s">
        <v>3609</v>
      </c>
      <c r="D777" s="1" t="s">
        <v>3610</v>
      </c>
      <c r="E777" s="1" t="s">
        <v>3611</v>
      </c>
      <c r="F777" s="4" t="s">
        <v>17</v>
      </c>
      <c r="G777" s="1" t="s">
        <v>18</v>
      </c>
      <c r="H777" s="1" t="s">
        <v>19</v>
      </c>
      <c r="I777" s="1" t="s">
        <v>20</v>
      </c>
      <c r="J777" s="1" t="s">
        <v>3612</v>
      </c>
      <c r="K777" s="1" t="s">
        <v>22</v>
      </c>
      <c r="L777" s="1" t="str">
        <f>HYPERLINK("https://files.afu.se/Downloads/Transcripts/0%20-%20Government/USA%20-%20NASA%20Kennedy/2016 06 03 - NASA's Kennedy Space Center - Inside KSC June 3, 2016_Mt5Sj_ClZWo - transcript (automated).pdf","Transcript Link")</f>
        <v>Transcript Link</v>
      </c>
      <c r="M777" s="2" t="str">
        <f>HYPERLINK("https://files.afu.se/Downloads/Transcripts/0%20-%20Government/USA%20-%20NASA%20Kennedy/2016 06 03 - NASA's Kennedy Space Center - Inside KSC June 3, 2016_Mt5Sj_ClZWo - transcript (automated).pdf","Transcript Link")</f>
        <v>Transcript Link</v>
      </c>
    </row>
    <row r="778" ht="180" spans="1:13">
      <c r="A778" s="1" t="s">
        <v>3613</v>
      </c>
      <c r="B778" s="1" t="s">
        <v>13</v>
      </c>
      <c r="C778" s="4" t="s">
        <v>3614</v>
      </c>
      <c r="D778" s="1" t="s">
        <v>3615</v>
      </c>
      <c r="E778" s="1" t="s">
        <v>3616</v>
      </c>
      <c r="F778" s="4" t="s">
        <v>17</v>
      </c>
      <c r="G778" s="1" t="s">
        <v>18</v>
      </c>
      <c r="H778" s="1" t="s">
        <v>19</v>
      </c>
      <c r="I778" s="1" t="s">
        <v>20</v>
      </c>
      <c r="J778" s="1" t="s">
        <v>3617</v>
      </c>
      <c r="K778" s="1" t="s">
        <v>22</v>
      </c>
      <c r="L778" s="1" t="str">
        <f>HYPERLINK("https://files.afu.se/Downloads/Transcripts/0%20-%20Government/USA%20-%20NASA%20Kennedy/2016 05 26 - NASA's Kennedy Space Center - Inside KSC! May 27, 2016_RiHpbFf4a0s - transcript (automated).pdf","Transcript Link")</f>
        <v>Transcript Link</v>
      </c>
      <c r="M778" s="2" t="str">
        <f>HYPERLINK("https://files.afu.se/Downloads/Transcripts/0%20-%20Government/USA%20-%20NASA%20Kennedy/2016 05 26 - NASA's Kennedy Space Center - Inside KSC! May 27, 2016_RiHpbFf4a0s - transcript (automated).pdf","Transcript Link")</f>
        <v>Transcript Link</v>
      </c>
    </row>
    <row r="779" ht="180" spans="1:13">
      <c r="A779" s="1" t="s">
        <v>3618</v>
      </c>
      <c r="B779" s="1" t="s">
        <v>13</v>
      </c>
      <c r="C779" s="4" t="s">
        <v>3619</v>
      </c>
      <c r="D779" s="1" t="s">
        <v>3620</v>
      </c>
      <c r="E779" s="1" t="s">
        <v>3621</v>
      </c>
      <c r="F779" s="4" t="s">
        <v>17</v>
      </c>
      <c r="G779" s="1" t="s">
        <v>18</v>
      </c>
      <c r="H779" s="1" t="s">
        <v>19</v>
      </c>
      <c r="I779" s="1" t="s">
        <v>20</v>
      </c>
      <c r="J779" s="1" t="s">
        <v>3622</v>
      </c>
      <c r="K779" s="1" t="s">
        <v>22</v>
      </c>
      <c r="L779" s="1" t="str">
        <f>HYPERLINK("https://files.afu.se/Downloads/Transcripts/0%20-%20Government/USA%20-%20NASA%20Kennedy/2016 05 25 - NASA's Kennedy Space Center - Launch Services Program Sets Stage for Mission Success_b8EtGkpKOBA - transcript (automated).pdf","Transcript Link")</f>
        <v>Transcript Link</v>
      </c>
      <c r="M779" s="2" t="str">
        <f>HYPERLINK("https://files.afu.se/Downloads/Transcripts/0%20-%20Government/USA%20-%20NASA%20Kennedy/2016 05 25 - NASA's Kennedy Space Center - Launch Services Program Sets Stage for Mission Success_b8EtGkpKOBA - transcript (automated).pdf","Transcript Link")</f>
        <v>Transcript Link</v>
      </c>
    </row>
    <row r="780" ht="180" spans="1:13">
      <c r="A780" s="1" t="s">
        <v>3618</v>
      </c>
      <c r="B780" s="1" t="s">
        <v>13</v>
      </c>
      <c r="C780" s="4" t="s">
        <v>3623</v>
      </c>
      <c r="D780" s="1" t="s">
        <v>3624</v>
      </c>
      <c r="E780" s="1" t="s">
        <v>3625</v>
      </c>
      <c r="F780" s="4" t="s">
        <v>17</v>
      </c>
      <c r="G780" s="1" t="s">
        <v>18</v>
      </c>
      <c r="H780" s="1" t="s">
        <v>19</v>
      </c>
      <c r="I780" s="1" t="s">
        <v>20</v>
      </c>
      <c r="J780" s="1" t="s">
        <v>3626</v>
      </c>
      <c r="K780" s="1" t="s">
        <v>22</v>
      </c>
      <c r="L780" s="1" t="str">
        <f>HYPERLINK("https://files.afu.se/Downloads/Transcripts/0%20-%20Government/USA%20-%20NASA%20Kennedy/2016 05 25 - NASA's Kennedy Space Center - Commercial Crew Progress, Summer 2016_tIZxZMP7vNk - transcript (automated).pdf","Transcript Link")</f>
        <v>Transcript Link</v>
      </c>
      <c r="M780" s="2" t="str">
        <f>HYPERLINK("https://files.afu.se/Downloads/Transcripts/0%20-%20Government/USA%20-%20NASA%20Kennedy/2016 05 25 - NASA's Kennedy Space Center - Commercial Crew Progress, Summer 2016_tIZxZMP7vNk - transcript (automated).pdf","Transcript Link")</f>
        <v>Transcript Link</v>
      </c>
    </row>
    <row r="781" ht="180" spans="1:13">
      <c r="A781" s="1" t="s">
        <v>3627</v>
      </c>
      <c r="B781" s="1" t="s">
        <v>13</v>
      </c>
      <c r="C781" s="4" t="s">
        <v>3628</v>
      </c>
      <c r="D781" s="1" t="s">
        <v>3629</v>
      </c>
      <c r="E781" s="1" t="s">
        <v>3630</v>
      </c>
      <c r="F781" s="4" t="s">
        <v>17</v>
      </c>
      <c r="G781" s="1" t="s">
        <v>18</v>
      </c>
      <c r="H781" s="1" t="s">
        <v>19</v>
      </c>
      <c r="I781" s="1" t="s">
        <v>20</v>
      </c>
      <c r="J781" s="1" t="s">
        <v>3631</v>
      </c>
      <c r="K781" s="1" t="s">
        <v>22</v>
      </c>
      <c r="L781" s="1" t="str">
        <f>HYPERLINK("https://files.afu.se/Downloads/Transcripts/0%20-%20Government/USA%20-%20NASA%20Kennedy/2016 05 24 - NASA's Kennedy Space Center - Robotic Mining Competition Put Student Engineers to the Test_qA6KPkEx7PA - transcript (automated).pdf","Transcript Link")</f>
        <v>Transcript Link</v>
      </c>
      <c r="M781" s="2" t="str">
        <f>HYPERLINK("https://files.afu.se/Downloads/Transcripts/0%20-%20Government/USA%20-%20NASA%20Kennedy/2016 05 24 - NASA's Kennedy Space Center - Robotic Mining Competition Put Student Engineers to the Test_qA6KPkEx7PA - transcript (automated).pdf","Transcript Link")</f>
        <v>Transcript Link</v>
      </c>
    </row>
    <row r="782" ht="180" spans="1:13">
      <c r="A782" s="1" t="s">
        <v>3632</v>
      </c>
      <c r="B782" s="1" t="s">
        <v>13</v>
      </c>
      <c r="C782" s="4" t="s">
        <v>3633</v>
      </c>
      <c r="D782" s="1" t="s">
        <v>3634</v>
      </c>
      <c r="E782" s="1" t="s">
        <v>3635</v>
      </c>
      <c r="F782" s="4" t="s">
        <v>17</v>
      </c>
      <c r="G782" s="1" t="s">
        <v>18</v>
      </c>
      <c r="H782" s="1" t="s">
        <v>19</v>
      </c>
      <c r="I782" s="1" t="s">
        <v>20</v>
      </c>
      <c r="J782" s="1" t="s">
        <v>3636</v>
      </c>
      <c r="K782" s="1" t="s">
        <v>22</v>
      </c>
      <c r="L782" s="1" t="str">
        <f>HYPERLINK("https://files.afu.se/Downloads/Transcripts/0%20-%20Government/USA%20-%20NASA%20Kennedy/2016 05 20 - NASA's Kennedy Space Center - Inside KSC! May 20, 2016_1sOaR5IkyIs - transcript (automated).pdf","Transcript Link")</f>
        <v>Transcript Link</v>
      </c>
      <c r="M782" s="2" t="str">
        <f>HYPERLINK("https://files.afu.se/Downloads/Transcripts/0%20-%20Government/USA%20-%20NASA%20Kennedy/2016 05 20 - NASA's Kennedy Space Center - Inside KSC! May 20, 2016_1sOaR5IkyIs - transcript (automated).pdf","Transcript Link")</f>
        <v>Transcript Link</v>
      </c>
    </row>
    <row r="783" ht="180" spans="1:13">
      <c r="A783" s="1" t="s">
        <v>3637</v>
      </c>
      <c r="B783" s="1" t="s">
        <v>13</v>
      </c>
      <c r="C783" s="4" t="s">
        <v>3638</v>
      </c>
      <c r="D783" s="1" t="s">
        <v>3639</v>
      </c>
      <c r="E783" s="1" t="s">
        <v>3640</v>
      </c>
      <c r="F783" s="4" t="s">
        <v>17</v>
      </c>
      <c r="G783" s="1" t="s">
        <v>18</v>
      </c>
      <c r="H783" s="1" t="s">
        <v>19</v>
      </c>
      <c r="I783" s="1" t="s">
        <v>20</v>
      </c>
      <c r="J783" s="1" t="s">
        <v>3641</v>
      </c>
      <c r="K783" s="1" t="s">
        <v>22</v>
      </c>
      <c r="L783" s="1" t="str">
        <f>HYPERLINK("https://files.afu.se/Downloads/Transcripts/0%20-%20Government/USA%20-%20NASA%20Kennedy/2016 05 13 - NASA's Kennedy Space Center - InsideKSC! May 13, 2016_-wr_caHW_9Y - transcript (automated).pdf","Transcript Link")</f>
        <v>Transcript Link</v>
      </c>
      <c r="M783" s="2" t="str">
        <f>HYPERLINK("https://files.afu.se/Downloads/Transcripts/0%20-%20Government/USA%20-%20NASA%20Kennedy/2016 05 13 - NASA's Kennedy Space Center - InsideKSC! May 13, 2016_-wr_caHW_9Y - transcript (automated).pdf","Transcript Link")</f>
        <v>Transcript Link</v>
      </c>
    </row>
    <row r="784" ht="180" spans="1:13">
      <c r="A784" s="1" t="s">
        <v>3642</v>
      </c>
      <c r="B784" s="1" t="s">
        <v>13</v>
      </c>
      <c r="C784" s="4" t="s">
        <v>3643</v>
      </c>
      <c r="D784" s="1" t="s">
        <v>3644</v>
      </c>
      <c r="E784" s="1" t="s">
        <v>3645</v>
      </c>
      <c r="F784" s="4" t="s">
        <v>17</v>
      </c>
      <c r="G784" s="1" t="s">
        <v>18</v>
      </c>
      <c r="H784" s="1" t="s">
        <v>19</v>
      </c>
      <c r="I784" s="1" t="s">
        <v>20</v>
      </c>
      <c r="J784" s="1" t="s">
        <v>3646</v>
      </c>
      <c r="K784" s="1" t="s">
        <v>22</v>
      </c>
      <c r="L784" s="1" t="str">
        <f>HYPERLINK("https://files.afu.se/Downloads/Transcripts/0%20-%20Government/USA%20-%20NASA%20Kennedy/2016 05 09 - NASA's Kennedy Space Center - First Work Platforms Tested in Vehicle Assembly Building_qnOmIWbp19k - transcript (automated).pdf","Transcript Link")</f>
        <v>Transcript Link</v>
      </c>
      <c r="M784" s="2" t="str">
        <f>HYPERLINK("https://files.afu.se/Downloads/Transcripts/0%20-%20Government/USA%20-%20NASA%20Kennedy/2016 05 09 - NASA's Kennedy Space Center - First Work Platforms Tested in Vehicle Assembly Building_qnOmIWbp19k - transcript (automated).pdf","Transcript Link")</f>
        <v>Transcript Link</v>
      </c>
    </row>
    <row r="785" ht="180" spans="1:13">
      <c r="A785" s="1" t="s">
        <v>3647</v>
      </c>
      <c r="B785" s="1" t="s">
        <v>13</v>
      </c>
      <c r="C785" s="4" t="s">
        <v>3648</v>
      </c>
      <c r="D785" s="1" t="s">
        <v>3649</v>
      </c>
      <c r="E785" s="1" t="s">
        <v>3650</v>
      </c>
      <c r="F785" s="4" t="s">
        <v>17</v>
      </c>
      <c r="G785" s="1" t="s">
        <v>18</v>
      </c>
      <c r="H785" s="1" t="s">
        <v>19</v>
      </c>
      <c r="I785" s="1" t="s">
        <v>20</v>
      </c>
      <c r="J785" s="1" t="s">
        <v>3651</v>
      </c>
      <c r="K785" s="1" t="s">
        <v>22</v>
      </c>
      <c r="L785" s="1" t="str">
        <f>HYPERLINK("https://files.afu.se/Downloads/Transcripts/0%20-%20Government/USA%20-%20NASA%20Kennedy/2016 05 06 - NASA's Kennedy Space Center - Inside KSC! May 6, 2016_k6-hkOmAwls - transcript (automated).pdf","Transcript Link")</f>
        <v>Transcript Link</v>
      </c>
      <c r="M785" s="2" t="str">
        <f>HYPERLINK("https://files.afu.se/Downloads/Transcripts/0%20-%20Government/USA%20-%20NASA%20Kennedy/2016 05 06 - NASA's Kennedy Space Center - Inside KSC! May 6, 2016_k6-hkOmAwls - transcript (automated).pdf","Transcript Link")</f>
        <v>Transcript Link</v>
      </c>
    </row>
    <row r="786" ht="180" spans="1:13">
      <c r="A786" s="1" t="s">
        <v>3652</v>
      </c>
      <c r="B786" s="1" t="s">
        <v>13</v>
      </c>
      <c r="C786" s="4" t="s">
        <v>3653</v>
      </c>
      <c r="D786" s="1" t="s">
        <v>3654</v>
      </c>
      <c r="E786" s="1" t="s">
        <v>3655</v>
      </c>
      <c r="F786" s="4" t="s">
        <v>17</v>
      </c>
      <c r="G786" s="1" t="s">
        <v>18</v>
      </c>
      <c r="H786" s="1" t="s">
        <v>19</v>
      </c>
      <c r="I786" s="1" t="s">
        <v>20</v>
      </c>
      <c r="J786" s="1" t="s">
        <v>3656</v>
      </c>
      <c r="K786" s="1" t="s">
        <v>22</v>
      </c>
      <c r="L786" s="1" t="str">
        <f>HYPERLINK("https://files.afu.se/Downloads/Transcripts/0%20-%20Government/USA%20-%20NASA%20Kennedy/2016 04 29 - NASA's Kennedy Space Center - Kennedy's Launch Pad 39B Transforms for Launch of Largest Rocket Ever_RZ9j97zxWUo - transcript (automated).pdf","Transcript Link")</f>
        <v>Transcript Link</v>
      </c>
      <c r="M786" s="2" t="str">
        <f>HYPERLINK("https://files.afu.se/Downloads/Transcripts/0%20-%20Government/USA%20-%20NASA%20Kennedy/2016 04 29 - NASA's Kennedy Space Center - Kennedy's Launch Pad 39B Transforms for Launch of Largest Rocket Ever_RZ9j97zxWUo - transcript (automated).pdf","Transcript Link")</f>
        <v>Transcript Link</v>
      </c>
    </row>
    <row r="787" ht="180" spans="1:13">
      <c r="A787" s="1" t="s">
        <v>3652</v>
      </c>
      <c r="B787" s="1" t="s">
        <v>13</v>
      </c>
      <c r="C787" s="4" t="s">
        <v>3657</v>
      </c>
      <c r="D787" s="1" t="s">
        <v>3658</v>
      </c>
      <c r="E787" s="1" t="s">
        <v>3659</v>
      </c>
      <c r="F787" s="4" t="s">
        <v>17</v>
      </c>
      <c r="G787" s="1" t="s">
        <v>18</v>
      </c>
      <c r="H787" s="1" t="s">
        <v>19</v>
      </c>
      <c r="I787" s="1" t="s">
        <v>20</v>
      </c>
      <c r="J787" s="1" t="s">
        <v>3660</v>
      </c>
      <c r="K787" s="1" t="s">
        <v>22</v>
      </c>
      <c r="L787" s="1" t="str">
        <f>HYPERLINK("https://files.afu.se/Downloads/Transcripts/0%20-%20Government/USA%20-%20NASA%20Kennedy/2016 04 29 - NASA's Kennedy Space Center - Inside KSC! April 29, 2016_eNcfhrJ34NA - transcript (automated).pdf","Transcript Link")</f>
        <v>Transcript Link</v>
      </c>
      <c r="M787" s="2" t="str">
        <f>HYPERLINK("https://files.afu.se/Downloads/Transcripts/0%20-%20Government/USA%20-%20NASA%20Kennedy/2016 04 29 - NASA's Kennedy Space Center - Inside KSC! April 29, 2016_eNcfhrJ34NA - transcript (automated).pdf","Transcript Link")</f>
        <v>Transcript Link</v>
      </c>
    </row>
    <row r="788" ht="240" spans="1:13">
      <c r="A788" s="1" t="s">
        <v>3661</v>
      </c>
      <c r="B788" s="1" t="s">
        <v>13</v>
      </c>
      <c r="C788" s="4" t="s">
        <v>3662</v>
      </c>
      <c r="D788" s="1" t="s">
        <v>3663</v>
      </c>
      <c r="E788" s="1" t="s">
        <v>3664</v>
      </c>
      <c r="F788" s="4" t="s">
        <v>17</v>
      </c>
      <c r="G788" s="1" t="s">
        <v>18</v>
      </c>
      <c r="H788" s="1" t="s">
        <v>19</v>
      </c>
      <c r="I788" s="1" t="s">
        <v>20</v>
      </c>
      <c r="J788" s="1" t="s">
        <v>3665</v>
      </c>
      <c r="K788" s="1" t="s">
        <v>22</v>
      </c>
      <c r="L788" s="1" t="str">
        <f>HYPERLINK("https://files.afu.se/Downloads/Transcripts/0%20-%20Government/USA%20-%20NASA%20Kennedy/2016 04 26 - NASA's Kennedy Space Center - Simulators Offer Astronauts Glimpse of Future Flight_uIsn-EGs1p4 - transcript (automated).pdf","Transcript Link")</f>
        <v>Transcript Link</v>
      </c>
      <c r="M788" s="2" t="str">
        <f>HYPERLINK("https://files.afu.se/Downloads/Transcripts/0%20-%20Government/USA%20-%20NASA%20Kennedy/2016 04 26 - NASA's Kennedy Space Center - Simulators Offer Astronauts Glimpse of Future Flight_uIsn-EGs1p4 - transcript (automated).pdf","Transcript Link")</f>
        <v>Transcript Link</v>
      </c>
    </row>
    <row r="789" ht="180" spans="1:13">
      <c r="A789" s="1" t="s">
        <v>3666</v>
      </c>
      <c r="B789" s="1" t="s">
        <v>13</v>
      </c>
      <c r="C789" s="4" t="s">
        <v>3667</v>
      </c>
      <c r="D789" s="1" t="s">
        <v>3668</v>
      </c>
      <c r="E789" s="1" t="s">
        <v>3669</v>
      </c>
      <c r="F789" s="4" t="s">
        <v>17</v>
      </c>
      <c r="G789" s="1" t="s">
        <v>18</v>
      </c>
      <c r="H789" s="1" t="s">
        <v>19</v>
      </c>
      <c r="I789" s="1" t="s">
        <v>20</v>
      </c>
      <c r="J789" s="1" t="s">
        <v>3670</v>
      </c>
      <c r="K789" s="1" t="s">
        <v>22</v>
      </c>
      <c r="L789" s="1" t="str">
        <f>HYPERLINK("https://files.afu.se/Downloads/Transcripts/0%20-%20Government/USA%20-%20NASA%20Kennedy/2016 04 22 - NASA's Kennedy Space Center - Inside KSC! April 22, 2016_qquqG1aU5Sk - transcript (automated).pdf","Transcript Link")</f>
        <v>Transcript Link</v>
      </c>
      <c r="M789" s="2" t="str">
        <f>HYPERLINK("https://files.afu.se/Downloads/Transcripts/0%20-%20Government/USA%20-%20NASA%20Kennedy/2016 04 22 - NASA's Kennedy Space Center - Inside KSC! April 22, 2016_qquqG1aU5Sk - transcript (automated).pdf","Transcript Link")</f>
        <v>Transcript Link</v>
      </c>
    </row>
    <row r="790" ht="180" spans="1:13">
      <c r="A790" s="1" t="s">
        <v>3671</v>
      </c>
      <c r="B790" s="1" t="s">
        <v>13</v>
      </c>
      <c r="C790" s="4" t="s">
        <v>3672</v>
      </c>
      <c r="D790" s="1" t="s">
        <v>3673</v>
      </c>
      <c r="E790" s="1" t="s">
        <v>3674</v>
      </c>
      <c r="F790" s="4" t="s">
        <v>17</v>
      </c>
      <c r="G790" s="1" t="s">
        <v>18</v>
      </c>
      <c r="H790" s="1" t="s">
        <v>19</v>
      </c>
      <c r="I790" s="1" t="s">
        <v>20</v>
      </c>
      <c r="J790" s="1" t="s">
        <v>3675</v>
      </c>
      <c r="K790" s="1" t="s">
        <v>22</v>
      </c>
      <c r="L790" s="1" t="str">
        <f>HYPERLINK("https://files.afu.se/Downloads/Transcripts/0%20-%20Government/USA%20-%20NASA%20Kennedy/2016 04 15 - NASA's Kennedy Space Center - Inside KSC! April 15, 2016_EP46JOV2Ef4 - transcript (automated).pdf","Transcript Link")</f>
        <v>Transcript Link</v>
      </c>
      <c r="M790" s="2" t="str">
        <f>HYPERLINK("https://files.afu.se/Downloads/Transcripts/0%20-%20Government/USA%20-%20NASA%20Kennedy/2016 04 15 - NASA's Kennedy Space Center - Inside KSC! April 15, 2016_EP46JOV2Ef4 - transcript (automated).pdf","Transcript Link")</f>
        <v>Transcript Link</v>
      </c>
    </row>
    <row r="791" ht="180" spans="1:13">
      <c r="A791" s="1" t="s">
        <v>3676</v>
      </c>
      <c r="B791" s="1" t="s">
        <v>13</v>
      </c>
      <c r="C791" s="4" t="s">
        <v>3677</v>
      </c>
      <c r="D791" s="1" t="s">
        <v>3678</v>
      </c>
      <c r="E791" s="1" t="s">
        <v>3679</v>
      </c>
      <c r="F791" s="4" t="s">
        <v>17</v>
      </c>
      <c r="G791" s="1" t="s">
        <v>18</v>
      </c>
      <c r="H791" s="1" t="s">
        <v>19</v>
      </c>
      <c r="I791" s="1" t="s">
        <v>20</v>
      </c>
      <c r="J791" s="1" t="s">
        <v>3680</v>
      </c>
      <c r="K791" s="1" t="s">
        <v>22</v>
      </c>
      <c r="L791" s="1" t="str">
        <f>HYPERLINK("https://files.afu.se/Downloads/Transcripts/0%20-%20Government/USA%20-%20NASA%20Kennedy/2016 04 08 - NASA's Kennedy Space Center - SpaceX CRS-8 Lifts Off from Cape Canaveral_vLcz34UdBJg - transcript (automated).pdf","Transcript Link")</f>
        <v>Transcript Link</v>
      </c>
      <c r="M791" s="2" t="str">
        <f>HYPERLINK("https://files.afu.se/Downloads/Transcripts/0%20-%20Government/USA%20-%20NASA%20Kennedy/2016 04 08 - NASA's Kennedy Space Center - SpaceX CRS-8 Lifts Off from Cape Canaveral_vLcz34UdBJg - transcript (automated).pdf","Transcript Link")</f>
        <v>Transcript Link</v>
      </c>
    </row>
    <row r="792" ht="180" spans="1:13">
      <c r="A792" s="1" t="s">
        <v>3676</v>
      </c>
      <c r="B792" s="1" t="s">
        <v>13</v>
      </c>
      <c r="C792" s="4" t="s">
        <v>3681</v>
      </c>
      <c r="D792" s="1" t="s">
        <v>3682</v>
      </c>
      <c r="E792" s="1" t="s">
        <v>3683</v>
      </c>
      <c r="F792" s="4" t="s">
        <v>17</v>
      </c>
      <c r="G792" s="1" t="s">
        <v>18</v>
      </c>
      <c r="H792" s="1" t="s">
        <v>19</v>
      </c>
      <c r="I792" s="1" t="s">
        <v>20</v>
      </c>
      <c r="J792" s="1" t="s">
        <v>3684</v>
      </c>
      <c r="K792" s="1" t="s">
        <v>22</v>
      </c>
      <c r="L792" s="1" t="str">
        <f>HYPERLINK("https://files.afu.se/Downloads/Transcripts/0%20-%20Government/USA%20-%20NASA%20Kennedy/2016 04 08 - NASA's Kennedy Space Center - Inside KSC! April 8, 2015_bkJ3DueQVt4 - transcript (automated).pdf","Transcript Link")</f>
        <v>Transcript Link</v>
      </c>
      <c r="M792" s="2" t="str">
        <f>HYPERLINK("https://files.afu.se/Downloads/Transcripts/0%20-%20Government/USA%20-%20NASA%20Kennedy/2016 04 08 - NASA's Kennedy Space Center - Inside KSC! April 8, 2015_bkJ3DueQVt4 - transcript (automated).pdf","Transcript Link")</f>
        <v>Transcript Link</v>
      </c>
    </row>
    <row r="793" ht="180" spans="1:13">
      <c r="A793" s="1" t="s">
        <v>3685</v>
      </c>
      <c r="B793" s="1" t="s">
        <v>13</v>
      </c>
      <c r="C793" s="4" t="s">
        <v>3686</v>
      </c>
      <c r="D793" s="1" t="s">
        <v>3687</v>
      </c>
      <c r="E793" s="1" t="s">
        <v>3688</v>
      </c>
      <c r="F793" s="4" t="s">
        <v>17</v>
      </c>
      <c r="G793" s="1" t="s">
        <v>18</v>
      </c>
      <c r="H793" s="1" t="s">
        <v>19</v>
      </c>
      <c r="I793" s="1" t="s">
        <v>20</v>
      </c>
      <c r="J793" s="1" t="s">
        <v>3689</v>
      </c>
      <c r="K793" s="1" t="s">
        <v>22</v>
      </c>
      <c r="L793" s="1" t="str">
        <f>HYPERLINK("https://files.afu.se/Downloads/Transcripts/0%20-%20Government/USA%20-%20NASA%20Kennedy/2016 04 01 - NASA's Kennedy Space Center - Inside KSC! April 1, 2016_TQfR6XF69mo - transcript (automated).pdf","Transcript Link")</f>
        <v>Transcript Link</v>
      </c>
      <c r="M793" s="2" t="str">
        <f>HYPERLINK("https://files.afu.se/Downloads/Transcripts/0%20-%20Government/USA%20-%20NASA%20Kennedy/2016 04 01 - NASA's Kennedy Space Center - Inside KSC! April 1, 2016_TQfR6XF69mo - transcript (automated).pdf","Transcript Link")</f>
        <v>Transcript Link</v>
      </c>
    </row>
    <row r="794" ht="180" spans="1:13">
      <c r="A794" s="1" t="s">
        <v>3690</v>
      </c>
      <c r="B794" s="1" t="s">
        <v>13</v>
      </c>
      <c r="C794" s="4" t="s">
        <v>3691</v>
      </c>
      <c r="D794" s="1" t="s">
        <v>3692</v>
      </c>
      <c r="E794" s="1" t="s">
        <v>3693</v>
      </c>
      <c r="F794" s="4" t="s">
        <v>17</v>
      </c>
      <c r="G794" s="1" t="s">
        <v>18</v>
      </c>
      <c r="H794" s="1" t="s">
        <v>19</v>
      </c>
      <c r="I794" s="1" t="s">
        <v>20</v>
      </c>
      <c r="J794" s="1" t="s">
        <v>3694</v>
      </c>
      <c r="K794" s="1" t="s">
        <v>22</v>
      </c>
      <c r="L794" s="1" t="str">
        <f>HYPERLINK("https://files.afu.se/Downloads/Transcripts/0%20-%20Government/USA%20-%20NASA%20Kennedy/2016 03 31 - NASA's Kennedy Space Center - AstroViews  Cady Coleman_U_lrfcsgUbY - transcript (automated).pdf","Transcript Link")</f>
        <v>Transcript Link</v>
      </c>
      <c r="M794" s="2" t="str">
        <f>HYPERLINK("https://files.afu.se/Downloads/Transcripts/0%20-%20Government/USA%20-%20NASA%20Kennedy/2016 03 31 - NASA's Kennedy Space Center - AstroViews  Cady Coleman_U_lrfcsgUbY - transcript (automated).pdf","Transcript Link")</f>
        <v>Transcript Link</v>
      </c>
    </row>
    <row r="795" ht="180" spans="1:13">
      <c r="A795" s="1" t="s">
        <v>3695</v>
      </c>
      <c r="B795" s="1" t="s">
        <v>13</v>
      </c>
      <c r="C795" s="4" t="s">
        <v>3696</v>
      </c>
      <c r="D795" s="1" t="s">
        <v>3697</v>
      </c>
      <c r="E795" s="1" t="s">
        <v>3698</v>
      </c>
      <c r="F795" s="4" t="s">
        <v>17</v>
      </c>
      <c r="G795" s="1" t="s">
        <v>18</v>
      </c>
      <c r="H795" s="1" t="s">
        <v>19</v>
      </c>
      <c r="I795" s="1" t="s">
        <v>20</v>
      </c>
      <c r="J795" s="1" t="s">
        <v>3699</v>
      </c>
      <c r="K795" s="1" t="s">
        <v>22</v>
      </c>
      <c r="L795" s="1" t="str">
        <f>HYPERLINK("https://files.afu.se/Downloads/Transcripts/0%20-%20Government/USA%20-%20NASA%20Kennedy/2016 03 30 - NASA's Kennedy Space Center - KSC Safety and Health  Faith Chandler on Enduring a Catastrophic Loss_uO1QZEH62Pw - transcript (automated).pdf","Transcript Link")</f>
        <v>Transcript Link</v>
      </c>
      <c r="M795" s="2" t="str">
        <f>HYPERLINK("https://files.afu.se/Downloads/Transcripts/0%20-%20Government/USA%20-%20NASA%20Kennedy/2016 03 30 - NASA's Kennedy Space Center - KSC Safety and Health  Faith Chandler on Enduring a Catastrophic Loss_uO1QZEH62Pw - transcript (automated).pdf","Transcript Link")</f>
        <v>Transcript Link</v>
      </c>
    </row>
    <row r="796" ht="180" spans="1:13">
      <c r="A796" s="1" t="s">
        <v>3700</v>
      </c>
      <c r="B796" s="1" t="s">
        <v>13</v>
      </c>
      <c r="C796" s="4" t="s">
        <v>3701</v>
      </c>
      <c r="D796" s="1" t="s">
        <v>3702</v>
      </c>
      <c r="E796" s="1" t="s">
        <v>3703</v>
      </c>
      <c r="F796" s="4" t="s">
        <v>17</v>
      </c>
      <c r="G796" s="1" t="s">
        <v>18</v>
      </c>
      <c r="H796" s="1" t="s">
        <v>19</v>
      </c>
      <c r="I796" s="1" t="s">
        <v>20</v>
      </c>
      <c r="J796" s="1" t="s">
        <v>3704</v>
      </c>
      <c r="K796" s="1" t="s">
        <v>22</v>
      </c>
      <c r="L796" s="1" t="str">
        <f>HYPERLINK("https://files.afu.se/Downloads/Transcripts/0%20-%20Government/USA%20-%20NASA%20Kennedy/2016 03 28 - NASA's Kennedy Space Center - Crew Access Arm Water Deluge Test for Boeing ULA_GpJDskL7Sx0 - transcript (automated).pdf","Transcript Link")</f>
        <v>Transcript Link</v>
      </c>
      <c r="M796" s="2" t="str">
        <f>HYPERLINK("https://files.afu.se/Downloads/Transcripts/0%20-%20Government/USA%20-%20NASA%20Kennedy/2016 03 28 - NASA's Kennedy Space Center - Crew Access Arm Water Deluge Test for Boeing ULA_GpJDskL7Sx0 - transcript (automated).pdf","Transcript Link")</f>
        <v>Transcript Link</v>
      </c>
    </row>
    <row r="797" ht="180" spans="1:13">
      <c r="A797" s="1" t="s">
        <v>3705</v>
      </c>
      <c r="B797" s="1" t="s">
        <v>13</v>
      </c>
      <c r="C797" s="4" t="s">
        <v>3706</v>
      </c>
      <c r="D797" s="1" t="s">
        <v>3707</v>
      </c>
      <c r="E797" s="1" t="s">
        <v>3708</v>
      </c>
      <c r="F797" s="4" t="s">
        <v>17</v>
      </c>
      <c r="G797" s="1" t="s">
        <v>18</v>
      </c>
      <c r="H797" s="1" t="s">
        <v>19</v>
      </c>
      <c r="I797" s="1" t="s">
        <v>20</v>
      </c>
      <c r="J797" s="1" t="s">
        <v>3709</v>
      </c>
      <c r="K797" s="1" t="s">
        <v>22</v>
      </c>
      <c r="L797" s="1" t="str">
        <f>HYPERLINK("https://files.afu.se/Downloads/Transcripts/0%20-%20Government/USA%20-%20NASA%20Kennedy/2016 03 25 - NASA's Kennedy Space Center - Inside KSC! March 25, 2016_hrKzwYUY1E8 - transcript (automated).pdf","Transcript Link")</f>
        <v>Transcript Link</v>
      </c>
      <c r="M797" s="2" t="str">
        <f>HYPERLINK("https://files.afu.se/Downloads/Transcripts/0%20-%20Government/USA%20-%20NASA%20Kennedy/2016 03 25 - NASA's Kennedy Space Center - Inside KSC! March 25, 2016_hrKzwYUY1E8 - transcript (automated).pdf","Transcript Link")</f>
        <v>Transcript Link</v>
      </c>
    </row>
    <row r="798" ht="180" spans="1:13">
      <c r="A798" s="1" t="s">
        <v>3710</v>
      </c>
      <c r="B798" s="1" t="s">
        <v>13</v>
      </c>
      <c r="C798" s="4" t="s">
        <v>3711</v>
      </c>
      <c r="D798" s="1" t="s">
        <v>3712</v>
      </c>
      <c r="E798" s="1" t="s">
        <v>3713</v>
      </c>
      <c r="F798" s="4" t="s">
        <v>17</v>
      </c>
      <c r="G798" s="1" t="s">
        <v>18</v>
      </c>
      <c r="H798" s="1" t="s">
        <v>19</v>
      </c>
      <c r="I798" s="1" t="s">
        <v>20</v>
      </c>
      <c r="J798" s="1" t="s">
        <v>3714</v>
      </c>
      <c r="K798" s="1" t="s">
        <v>22</v>
      </c>
      <c r="L798" s="1" t="str">
        <f>HYPERLINK("https://files.afu.se/Downloads/Transcripts/0%20-%20Government/USA%20-%20NASA%20Kennedy/2016 03 23 - NASA's Kennedy Space Center - Orbital ATK CRS-6 Lifts off_RV0gXFsJEdA - transcript (automated).pdf","Transcript Link")</f>
        <v>Transcript Link</v>
      </c>
      <c r="M798" s="2" t="str">
        <f>HYPERLINK("https://files.afu.se/Downloads/Transcripts/0%20-%20Government/USA%20-%20NASA%20Kennedy/2016 03 23 - NASA's Kennedy Space Center - Orbital ATK CRS-6 Lifts off_RV0gXFsJEdA - transcript (automated).pdf","Transcript Link")</f>
        <v>Transcript Link</v>
      </c>
    </row>
    <row r="799" ht="180" spans="1:13">
      <c r="A799" s="1" t="s">
        <v>3710</v>
      </c>
      <c r="B799" s="1" t="s">
        <v>13</v>
      </c>
      <c r="C799" s="4" t="s">
        <v>3715</v>
      </c>
      <c r="D799" s="1" t="s">
        <v>3716</v>
      </c>
      <c r="E799" s="1" t="s">
        <v>3717</v>
      </c>
      <c r="F799" s="4" t="s">
        <v>17</v>
      </c>
      <c r="G799" s="1" t="s">
        <v>18</v>
      </c>
      <c r="H799" s="1" t="s">
        <v>19</v>
      </c>
      <c r="I799" s="1" t="s">
        <v>20</v>
      </c>
      <c r="J799" s="1" t="s">
        <v>3718</v>
      </c>
      <c r="K799" s="1" t="s">
        <v>22</v>
      </c>
      <c r="L799" s="1" t="str">
        <f>HYPERLINK("https://files.afu.se/Downloads/Transcripts/0%20-%20Government/USA%20-%20NASA%20Kennedy/2016 03 23 - NASA's Kennedy Space Center - Cygnus Spacecraft Prepared for Orbital ATK CRS-6 Launch_FKECWHiFJiA - transcript (automated).pdf","Transcript Link")</f>
        <v>Transcript Link</v>
      </c>
      <c r="M799" s="2" t="str">
        <f>HYPERLINK("https://files.afu.se/Downloads/Transcripts/0%20-%20Government/USA%20-%20NASA%20Kennedy/2016 03 23 - NASA's Kennedy Space Center - Cygnus Spacecraft Prepared for Orbital ATK CRS-6 Launch_FKECWHiFJiA - transcript (automated).pdf","Transcript Link")</f>
        <v>Transcript Link</v>
      </c>
    </row>
    <row r="800" ht="180" spans="1:13">
      <c r="A800" s="1" t="s">
        <v>3719</v>
      </c>
      <c r="B800" s="1" t="s">
        <v>13</v>
      </c>
      <c r="C800" s="4" t="s">
        <v>3720</v>
      </c>
      <c r="D800" s="1" t="s">
        <v>3721</v>
      </c>
      <c r="E800" s="1" t="s">
        <v>3722</v>
      </c>
      <c r="F800" s="4" t="s">
        <v>17</v>
      </c>
      <c r="G800" s="1" t="s">
        <v>18</v>
      </c>
      <c r="H800" s="1" t="s">
        <v>19</v>
      </c>
      <c r="I800" s="1" t="s">
        <v>20</v>
      </c>
      <c r="J800" s="1" t="s">
        <v>3723</v>
      </c>
      <c r="K800" s="1" t="s">
        <v>22</v>
      </c>
      <c r="L800" s="1" t="str">
        <f>HYPERLINK("https://files.afu.se/Downloads/Transcripts/0%20-%20Government/USA%20-%20NASA%20Kennedy/2016 03 18 - NASA's Kennedy Space Center - Cygnus Cargo Craft Set to Resupply Station_OkhJJ0aZnoc - transcript (automated).pdf","Transcript Link")</f>
        <v>Transcript Link</v>
      </c>
      <c r="M800" s="2" t="str">
        <f>HYPERLINK("https://files.afu.se/Downloads/Transcripts/0%20-%20Government/USA%20-%20NASA%20Kennedy/2016 03 18 - NASA's Kennedy Space Center - Cygnus Cargo Craft Set to Resupply Station_OkhJJ0aZnoc - transcript (automated).pdf","Transcript Link")</f>
        <v>Transcript Link</v>
      </c>
    </row>
    <row r="801" ht="180" spans="1:13">
      <c r="A801" s="1" t="s">
        <v>3719</v>
      </c>
      <c r="B801" s="1" t="s">
        <v>13</v>
      </c>
      <c r="C801" s="4" t="s">
        <v>3724</v>
      </c>
      <c r="D801" s="1" t="s">
        <v>3725</v>
      </c>
      <c r="E801" s="1" t="s">
        <v>3726</v>
      </c>
      <c r="F801" s="4" t="s">
        <v>17</v>
      </c>
      <c r="G801" s="1" t="s">
        <v>18</v>
      </c>
      <c r="H801" s="1" t="s">
        <v>19</v>
      </c>
      <c r="I801" s="1" t="s">
        <v>20</v>
      </c>
      <c r="J801" s="1" t="s">
        <v>3727</v>
      </c>
      <c r="K801" s="1" t="s">
        <v>22</v>
      </c>
      <c r="L801" s="1" t="str">
        <f>HYPERLINK("https://files.afu.se/Downloads/Transcripts/0%20-%20Government/USA%20-%20NASA%20Kennedy/2016 03 18 - NASA's Kennedy Space Center - Inside KSC! for March 18, 2016_CyJRyt7AKI4 - transcript (automated).pdf","Transcript Link")</f>
        <v>Transcript Link</v>
      </c>
      <c r="M801" s="2" t="str">
        <f>HYPERLINK("https://files.afu.se/Downloads/Transcripts/0%20-%20Government/USA%20-%20NASA%20Kennedy/2016 03 18 - NASA's Kennedy Space Center - Inside KSC! for March 18, 2016_CyJRyt7AKI4 - transcript (automated).pdf","Transcript Link")</f>
        <v>Transcript Link</v>
      </c>
    </row>
    <row r="802" ht="180" spans="1:13">
      <c r="A802" s="1" t="s">
        <v>3728</v>
      </c>
      <c r="B802" s="1" t="s">
        <v>13</v>
      </c>
      <c r="C802" s="4" t="s">
        <v>3729</v>
      </c>
      <c r="D802" s="1" t="s">
        <v>3730</v>
      </c>
      <c r="E802" s="1" t="s">
        <v>3731</v>
      </c>
      <c r="F802" s="4" t="s">
        <v>17</v>
      </c>
      <c r="G802" s="1" t="s">
        <v>18</v>
      </c>
      <c r="H802" s="1" t="s">
        <v>19</v>
      </c>
      <c r="I802" s="1" t="s">
        <v>20</v>
      </c>
      <c r="J802" s="1" t="s">
        <v>3732</v>
      </c>
      <c r="K802" s="1" t="s">
        <v>22</v>
      </c>
      <c r="L802" s="1" t="str">
        <f>HYPERLINK("https://files.afu.se/Downloads/Transcripts/0%20-%20Government/USA%20-%20NASA%20Kennedy/2016 03 16 - NASA's Kennedy Space Center - Cape Canaveral's Historic Hangar S  America's Cradle of Human Space Exploration_f9xw79nK5ec - transcript (automated).pdf","Transcript Link")</f>
        <v>Transcript Link</v>
      </c>
      <c r="M802" s="2" t="str">
        <f>HYPERLINK("https://files.afu.se/Downloads/Transcripts/0%20-%20Government/USA%20-%20NASA%20Kennedy/2016 03 16 - NASA's Kennedy Space Center - Cape Canaveral's Historic Hangar S  America's Cradle of Human Space Exploration_f9xw79nK5ec - transcript (automated).pdf","Transcript Link")</f>
        <v>Transcript Link</v>
      </c>
    </row>
    <row r="803" ht="180" spans="1:13">
      <c r="A803" s="1" t="s">
        <v>3733</v>
      </c>
      <c r="B803" s="1" t="s">
        <v>13</v>
      </c>
      <c r="C803" s="4" t="s">
        <v>3734</v>
      </c>
      <c r="D803" s="1" t="s">
        <v>3735</v>
      </c>
      <c r="E803" s="1" t="s">
        <v>3736</v>
      </c>
      <c r="F803" s="4" t="s">
        <v>17</v>
      </c>
      <c r="G803" s="1" t="s">
        <v>18</v>
      </c>
      <c r="H803" s="1" t="s">
        <v>19</v>
      </c>
      <c r="I803" s="1" t="s">
        <v>20</v>
      </c>
      <c r="J803" s="1" t="s">
        <v>3737</v>
      </c>
      <c r="K803" s="1" t="s">
        <v>22</v>
      </c>
      <c r="L803" s="1" t="str">
        <f>HYPERLINK("https://files.afu.se/Downloads/Transcripts/0%20-%20Government/USA%20-%20NASA%20Kennedy/2016 03 14 - NASA's Kennedy Space Center - Kennedy Space Center GO!_yZvXt82CqwM - transcript (automated).pdf","Transcript Link")</f>
        <v>Transcript Link</v>
      </c>
      <c r="M803" s="2" t="str">
        <f>HYPERLINK("https://files.afu.se/Downloads/Transcripts/0%20-%20Government/USA%20-%20NASA%20Kennedy/2016 03 14 - NASA's Kennedy Space Center - Kennedy Space Center GO!_yZvXt82CqwM - transcript (automated).pdf","Transcript Link")</f>
        <v>Transcript Link</v>
      </c>
    </row>
    <row r="804" ht="180" spans="1:13">
      <c r="A804" s="1" t="s">
        <v>3738</v>
      </c>
      <c r="B804" s="1" t="s">
        <v>13</v>
      </c>
      <c r="C804" s="4" t="s">
        <v>3739</v>
      </c>
      <c r="D804" s="1" t="s">
        <v>3740</v>
      </c>
      <c r="E804" s="1" t="s">
        <v>3741</v>
      </c>
      <c r="F804" s="4" t="s">
        <v>17</v>
      </c>
      <c r="G804" s="1" t="s">
        <v>18</v>
      </c>
      <c r="H804" s="1" t="s">
        <v>19</v>
      </c>
      <c r="I804" s="1" t="s">
        <v>20</v>
      </c>
      <c r="J804" s="1" t="s">
        <v>3742</v>
      </c>
      <c r="K804" s="1" t="s">
        <v>22</v>
      </c>
      <c r="L804" s="1" t="str">
        <f>HYPERLINK("https://files.afu.se/Downloads/Transcripts/0%20-%20Government/USA%20-%20NASA%20Kennedy/2016 03 11 - NASA's Kennedy Space Center - Inside KSC! for March 11, 2016_eFgjqCEuE1k - transcript (automated).pdf","Transcript Link")</f>
        <v>Transcript Link</v>
      </c>
      <c r="M804" s="2" t="str">
        <f>HYPERLINK("https://files.afu.se/Downloads/Transcripts/0%20-%20Government/USA%20-%20NASA%20Kennedy/2016 03 11 - NASA's Kennedy Space Center - Inside KSC! for March 11, 2016_eFgjqCEuE1k - transcript (automated).pdf","Transcript Link")</f>
        <v>Transcript Link</v>
      </c>
    </row>
    <row r="805" ht="180" spans="1:13">
      <c r="A805" s="1" t="s">
        <v>3743</v>
      </c>
      <c r="B805" s="1" t="s">
        <v>13</v>
      </c>
      <c r="C805" s="4" t="s">
        <v>3744</v>
      </c>
      <c r="D805" s="1" t="s">
        <v>3745</v>
      </c>
      <c r="E805" s="1" t="s">
        <v>3746</v>
      </c>
      <c r="F805" s="4" t="s">
        <v>17</v>
      </c>
      <c r="G805" s="1" t="s">
        <v>18</v>
      </c>
      <c r="H805" s="1" t="s">
        <v>19</v>
      </c>
      <c r="I805" s="1" t="s">
        <v>20</v>
      </c>
      <c r="J805" s="1" t="s">
        <v>3747</v>
      </c>
      <c r="K805" s="1" t="s">
        <v>22</v>
      </c>
      <c r="L805" s="1" t="str">
        <f>HYPERLINK("https://files.afu.se/Downloads/Transcripts/0%20-%20Government/USA%20-%20NASA%20Kennedy/2016 03 07 - NASA's Kennedy Space Center - Commercial Crew's Safety Focus_dbHwou_o96g - transcript (automated).pdf","Transcript Link")</f>
        <v>Transcript Link</v>
      </c>
      <c r="M805" s="2" t="str">
        <f>HYPERLINK("https://files.afu.se/Downloads/Transcripts/0%20-%20Government/USA%20-%20NASA%20Kennedy/2016 03 07 - NASA's Kennedy Space Center - Commercial Crew's Safety Focus_dbHwou_o96g - transcript (automated).pdf","Transcript Link")</f>
        <v>Transcript Link</v>
      </c>
    </row>
    <row r="806" ht="180" spans="1:13">
      <c r="A806" s="1" t="s">
        <v>3748</v>
      </c>
      <c r="B806" s="1" t="s">
        <v>13</v>
      </c>
      <c r="C806" s="4" t="s">
        <v>3749</v>
      </c>
      <c r="D806" s="1" t="s">
        <v>3750</v>
      </c>
      <c r="E806" s="1" t="s">
        <v>3751</v>
      </c>
      <c r="F806" s="4" t="s">
        <v>17</v>
      </c>
      <c r="G806" s="1" t="s">
        <v>18</v>
      </c>
      <c r="H806" s="1" t="s">
        <v>19</v>
      </c>
      <c r="I806" s="1" t="s">
        <v>20</v>
      </c>
      <c r="J806" s="1" t="s">
        <v>3752</v>
      </c>
      <c r="K806" s="1" t="s">
        <v>22</v>
      </c>
      <c r="L806" s="1" t="str">
        <f>HYPERLINK("https://files.afu.se/Downloads/Transcripts/0%20-%20Government/USA%20-%20NASA%20Kennedy/2016 03 04 - NASA's Kennedy Space Center - Inside KSC! for March 4, 2016_FUGofLb587c - transcript (automated).pdf","Transcript Link")</f>
        <v>Transcript Link</v>
      </c>
      <c r="M806" s="2" t="str">
        <f>HYPERLINK("https://files.afu.se/Downloads/Transcripts/0%20-%20Government/USA%20-%20NASA%20Kennedy/2016 03 04 - NASA's Kennedy Space Center - Inside KSC! for March 4, 2016_FUGofLb587c - transcript (automated).pdf","Transcript Link")</f>
        <v>Transcript Link</v>
      </c>
    </row>
    <row r="807" ht="210" spans="1:13">
      <c r="A807" s="1" t="s">
        <v>3753</v>
      </c>
      <c r="B807" s="1" t="s">
        <v>13</v>
      </c>
      <c r="C807" s="4" t="s">
        <v>3754</v>
      </c>
      <c r="D807" s="1" t="s">
        <v>3755</v>
      </c>
      <c r="E807" s="1" t="s">
        <v>3756</v>
      </c>
      <c r="F807" s="4" t="s">
        <v>17</v>
      </c>
      <c r="G807" s="1" t="s">
        <v>18</v>
      </c>
      <c r="H807" s="1" t="s">
        <v>19</v>
      </c>
      <c r="I807" s="1" t="s">
        <v>20</v>
      </c>
      <c r="J807" s="1" t="s">
        <v>3757</v>
      </c>
      <c r="K807" s="1" t="s">
        <v>22</v>
      </c>
      <c r="L807" s="1" t="str">
        <f>HYPERLINK("https://files.afu.se/Downloads/Transcripts/0%20-%20Government/USA%20-%20NASA%20Kennedy/2016 03 03 - NASA's Kennedy Space Center - Iconic Countdown Clock Unveiled at the Kennedy Space Center Visitor Complex_z6MlHg5avsg - transcript (automated).pdf","Transcript Link")</f>
        <v>Transcript Link</v>
      </c>
      <c r="M807" s="2" t="str">
        <f>HYPERLINK("https://files.afu.se/Downloads/Transcripts/0%20-%20Government/USA%20-%20NASA%20Kennedy/2016 03 03 - NASA's Kennedy Space Center - Iconic Countdown Clock Unveiled at the Kennedy Space Center Visitor Complex_z6MlHg5avsg - transcript (automated).pdf","Transcript Link")</f>
        <v>Transcript Link</v>
      </c>
    </row>
    <row r="808" ht="180" spans="1:13">
      <c r="A808" s="1" t="s">
        <v>3758</v>
      </c>
      <c r="B808" s="1" t="s">
        <v>13</v>
      </c>
      <c r="C808" s="4" t="s">
        <v>3759</v>
      </c>
      <c r="D808" s="1" t="s">
        <v>3760</v>
      </c>
      <c r="E808" s="1" t="s">
        <v>3761</v>
      </c>
      <c r="F808" s="4" t="s">
        <v>17</v>
      </c>
      <c r="G808" s="1" t="s">
        <v>18</v>
      </c>
      <c r="H808" s="1" t="s">
        <v>19</v>
      </c>
      <c r="I808" s="1" t="s">
        <v>20</v>
      </c>
      <c r="J808" s="1" t="s">
        <v>3762</v>
      </c>
      <c r="K808" s="1" t="s">
        <v>22</v>
      </c>
      <c r="L808" s="1" t="str">
        <f>HYPERLINK("https://files.afu.se/Downloads/Transcripts/0%20-%20Government/USA%20-%20NASA%20Kennedy/2016 03 02 - NASA's Kennedy Space Center - Kennedy Launches NASA's Journey to Mars_Oqj3s4RoB_M - transcript (automated).pdf","Transcript Link")</f>
        <v>Transcript Link</v>
      </c>
      <c r="M808" s="2" t="str">
        <f>HYPERLINK("https://files.afu.se/Downloads/Transcripts/0%20-%20Government/USA%20-%20NASA%20Kennedy/2016 03 02 - NASA's Kennedy Space Center - Kennedy Launches NASA's Journey to Mars_Oqj3s4RoB_M - transcript (automated).pdf","Transcript Link")</f>
        <v>Transcript Link</v>
      </c>
    </row>
    <row r="809" ht="180" spans="1:13">
      <c r="A809" s="1" t="s">
        <v>3763</v>
      </c>
      <c r="B809" s="1" t="s">
        <v>13</v>
      </c>
      <c r="C809" s="4" t="s">
        <v>3764</v>
      </c>
      <c r="D809" s="1" t="s">
        <v>3765</v>
      </c>
      <c r="E809" s="1" t="s">
        <v>3766</v>
      </c>
      <c r="F809" s="4" t="s">
        <v>17</v>
      </c>
      <c r="G809" s="1" t="s">
        <v>18</v>
      </c>
      <c r="H809" s="1" t="s">
        <v>19</v>
      </c>
      <c r="I809" s="1" t="s">
        <v>20</v>
      </c>
      <c r="J809" s="1" t="s">
        <v>3767</v>
      </c>
      <c r="K809" s="1" t="s">
        <v>22</v>
      </c>
      <c r="L809" s="1" t="str">
        <f>HYPERLINK("https://files.afu.se/Downloads/Transcripts/0%20-%20Government/USA%20-%20NASA%20Kennedy/2016 02 29 - NASA's Kennedy Space Center - AstroViews  Suni Williams_Iq02CZZQgUs - transcript (automated).pdf","Transcript Link")</f>
        <v>Transcript Link</v>
      </c>
      <c r="M809" s="2" t="str">
        <f>HYPERLINK("https://files.afu.se/Downloads/Transcripts/0%20-%20Government/USA%20-%20NASA%20Kennedy/2016 02 29 - NASA's Kennedy Space Center - AstroViews  Suni Williams_Iq02CZZQgUs - transcript (automated).pdf","Transcript Link")</f>
        <v>Transcript Link</v>
      </c>
    </row>
    <row r="810" ht="180" spans="1:13">
      <c r="A810" s="1" t="s">
        <v>3763</v>
      </c>
      <c r="B810" s="1" t="s">
        <v>13</v>
      </c>
      <c r="C810" s="4" t="s">
        <v>3768</v>
      </c>
      <c r="D810" s="1" t="s">
        <v>3769</v>
      </c>
      <c r="E810" s="1" t="s">
        <v>3770</v>
      </c>
      <c r="F810" s="4" t="s">
        <v>17</v>
      </c>
      <c r="G810" s="1" t="s">
        <v>18</v>
      </c>
      <c r="H810" s="1" t="s">
        <v>19</v>
      </c>
      <c r="I810" s="1" t="s">
        <v>20</v>
      </c>
      <c r="J810" s="1" t="s">
        <v>3771</v>
      </c>
      <c r="K810" s="1" t="s">
        <v>22</v>
      </c>
      <c r="L810" s="1" t="str">
        <f>HYPERLINK("https://files.afu.se/Downloads/Transcripts/0%20-%20Government/USA%20-%20NASA%20Kennedy/2016 02 29 - NASA's Kennedy Space Center - Astronaut Victor Glover Speaks About Safety &amp; Health_fa5tYn4MU-I - transcript (automated).pdf","Transcript Link")</f>
        <v>Transcript Link</v>
      </c>
      <c r="M810" s="2" t="str">
        <f>HYPERLINK("https://files.afu.se/Downloads/Transcripts/0%20-%20Government/USA%20-%20NASA%20Kennedy/2016 02 29 - NASA's Kennedy Space Center - Astronaut Victor Glover Speaks About Safety &amp; Health_fa5tYn4MU-I - transcript (automated).pdf","Transcript Link")</f>
        <v>Transcript Link</v>
      </c>
    </row>
    <row r="811" ht="180" spans="1:13">
      <c r="A811" s="1" t="s">
        <v>3772</v>
      </c>
      <c r="B811" s="1" t="s">
        <v>13</v>
      </c>
      <c r="C811" s="4" t="s">
        <v>3773</v>
      </c>
      <c r="D811" s="1" t="s">
        <v>3774</v>
      </c>
      <c r="E811" s="1" t="s">
        <v>3775</v>
      </c>
      <c r="F811" s="4" t="s">
        <v>17</v>
      </c>
      <c r="G811" s="1" t="s">
        <v>18</v>
      </c>
      <c r="H811" s="1" t="s">
        <v>19</v>
      </c>
      <c r="I811" s="1" t="s">
        <v>20</v>
      </c>
      <c r="J811" s="1" t="s">
        <v>3776</v>
      </c>
      <c r="K811" s="1" t="s">
        <v>22</v>
      </c>
      <c r="L811" s="1" t="str">
        <f>HYPERLINK("https://files.afu.se/Downloads/Transcripts/0%20-%20Government/USA%20-%20NASA%20Kennedy/2016 02 26 - NASA's Kennedy Space Center - Inside  KSC! Feb. 26, 2016_9B_YawQKW4Q - transcript (automated).pdf","Transcript Link")</f>
        <v>Transcript Link</v>
      </c>
      <c r="M811" s="2" t="str">
        <f>HYPERLINK("https://files.afu.se/Downloads/Transcripts/0%20-%20Government/USA%20-%20NASA%20Kennedy/2016 02 26 - NASA's Kennedy Space Center - Inside  KSC! Feb. 26, 2016_9B_YawQKW4Q - transcript (automated).pdf","Transcript Link")</f>
        <v>Transcript Link</v>
      </c>
    </row>
    <row r="812" ht="180" spans="1:13">
      <c r="A812" s="1" t="s">
        <v>3777</v>
      </c>
      <c r="B812" s="1" t="s">
        <v>13</v>
      </c>
      <c r="C812" s="4" t="s">
        <v>3778</v>
      </c>
      <c r="D812" s="1" t="s">
        <v>3779</v>
      </c>
      <c r="E812" s="1" t="s">
        <v>3780</v>
      </c>
      <c r="F812" s="4" t="s">
        <v>17</v>
      </c>
      <c r="G812" s="1" t="s">
        <v>18</v>
      </c>
      <c r="H812" s="1" t="s">
        <v>19</v>
      </c>
      <c r="I812" s="1" t="s">
        <v>20</v>
      </c>
      <c r="J812" s="1" t="s">
        <v>3781</v>
      </c>
      <c r="K812" s="1" t="s">
        <v>22</v>
      </c>
      <c r="L812" s="1" t="str">
        <f>HYPERLINK("https://files.afu.se/Downloads/Transcripts/0%20-%20Government/USA%20-%20NASA%20Kennedy/2016 02 19 - NASA's Kennedy Space Center - NASCAR's Carl Edwards Visits Spaceport_10eum__SZ5k - transcript (automated).pdf","Transcript Link")</f>
        <v>Transcript Link</v>
      </c>
      <c r="M812" s="2" t="str">
        <f>HYPERLINK("https://files.afu.se/Downloads/Transcripts/0%20-%20Government/USA%20-%20NASA%20Kennedy/2016 02 19 - NASA's Kennedy Space Center - NASCAR's Carl Edwards Visits Spaceport_10eum__SZ5k - transcript (automated).pdf","Transcript Link")</f>
        <v>Transcript Link</v>
      </c>
    </row>
    <row r="813" ht="180" spans="1:13">
      <c r="A813" s="1" t="s">
        <v>3782</v>
      </c>
      <c r="B813" s="1" t="s">
        <v>13</v>
      </c>
      <c r="C813" s="4" t="s">
        <v>3783</v>
      </c>
      <c r="D813" s="1" t="s">
        <v>3784</v>
      </c>
      <c r="E813" s="1" t="s">
        <v>3785</v>
      </c>
      <c r="F813" s="4" t="s">
        <v>17</v>
      </c>
      <c r="G813" s="1" t="s">
        <v>18</v>
      </c>
      <c r="H813" s="1" t="s">
        <v>19</v>
      </c>
      <c r="I813" s="1" t="s">
        <v>20</v>
      </c>
      <c r="J813" s="1" t="s">
        <v>3786</v>
      </c>
      <c r="K813" s="1" t="s">
        <v>22</v>
      </c>
      <c r="L813" s="1" t="str">
        <f>HYPERLINK("https://files.afu.se/Downloads/Transcripts/0%20-%20Government/USA%20-%20NASA%20Kennedy/2016 02 18 - NASA's Kennedy Space Center - Inside KSC! Feb. 19, 2016_VXYjJSyIkg4 - transcript (automated).pdf","Transcript Link")</f>
        <v>Transcript Link</v>
      </c>
      <c r="M813" s="2" t="str">
        <f>HYPERLINK("https://files.afu.se/Downloads/Transcripts/0%20-%20Government/USA%20-%20NASA%20Kennedy/2016 02 18 - NASA's Kennedy Space Center - Inside KSC! Feb. 19, 2016_VXYjJSyIkg4 - transcript (automated).pdf","Transcript Link")</f>
        <v>Transcript Link</v>
      </c>
    </row>
    <row r="814" ht="180" spans="1:13">
      <c r="A814" s="1" t="s">
        <v>3787</v>
      </c>
      <c r="B814" s="1" t="s">
        <v>13</v>
      </c>
      <c r="C814" s="4" t="s">
        <v>3788</v>
      </c>
      <c r="D814" s="1" t="s">
        <v>3789</v>
      </c>
      <c r="E814" s="1" t="s">
        <v>3790</v>
      </c>
      <c r="F814" s="4" t="s">
        <v>17</v>
      </c>
      <c r="G814" s="1" t="s">
        <v>18</v>
      </c>
      <c r="H814" s="1" t="s">
        <v>19</v>
      </c>
      <c r="I814" s="1" t="s">
        <v>20</v>
      </c>
      <c r="J814" s="1" t="s">
        <v>3791</v>
      </c>
      <c r="K814" s="1" t="s">
        <v>22</v>
      </c>
      <c r="L814" s="1" t="str">
        <f>HYPERLINK("https://files.afu.se/Downloads/Transcripts/0%20-%20Government/USA%20-%20NASA%20Kennedy/2016 02 17 - NASA's Kennedy Space Center - Orion Spacecraft Arrives for Exploration Mission-1_8dbjoLCmxRU - transcript (automated).pdf","Transcript Link")</f>
        <v>Transcript Link</v>
      </c>
      <c r="M814" s="2" t="str">
        <f>HYPERLINK("https://files.afu.se/Downloads/Transcripts/0%20-%20Government/USA%20-%20NASA%20Kennedy/2016 02 17 - NASA's Kennedy Space Center - Orion Spacecraft Arrives for Exploration Mission-1_8dbjoLCmxRU - transcript (automated).pdf","Transcript Link")</f>
        <v>Transcript Link</v>
      </c>
    </row>
    <row r="815" ht="180" spans="1:13">
      <c r="A815" s="1" t="s">
        <v>3792</v>
      </c>
      <c r="B815" s="1" t="s">
        <v>13</v>
      </c>
      <c r="C815" s="4" t="s">
        <v>3793</v>
      </c>
      <c r="D815" s="1" t="s">
        <v>3794</v>
      </c>
      <c r="E815" s="1" t="s">
        <v>3795</v>
      </c>
      <c r="F815" s="4" t="s">
        <v>17</v>
      </c>
      <c r="G815" s="1" t="s">
        <v>18</v>
      </c>
      <c r="H815" s="1" t="s">
        <v>19</v>
      </c>
      <c r="I815" s="1" t="s">
        <v>20</v>
      </c>
      <c r="J815" s="1" t="s">
        <v>3796</v>
      </c>
      <c r="K815" s="1" t="s">
        <v>22</v>
      </c>
      <c r="L815" s="1" t="str">
        <f>HYPERLINK("https://files.afu.se/Downloads/Transcripts/0%20-%20Government/USA%20-%20NASA%20Kennedy/2016 02 12 - NASA's Kennedy Space Center - Inside KSC! Feb. 12, 2016_sDKNIk93S5g - transcript (automated).pdf","Transcript Link")</f>
        <v>Transcript Link</v>
      </c>
      <c r="M815" s="2" t="str">
        <f>HYPERLINK("https://files.afu.se/Downloads/Transcripts/0%20-%20Government/USA%20-%20NASA%20Kennedy/2016 02 12 - NASA's Kennedy Space Center - Inside KSC! Feb. 12, 2016_sDKNIk93S5g - transcript (automated).pdf","Transcript Link")</f>
        <v>Transcript Link</v>
      </c>
    </row>
    <row r="816" ht="180" spans="1:13">
      <c r="A816" s="1" t="s">
        <v>3797</v>
      </c>
      <c r="B816" s="1" t="s">
        <v>13</v>
      </c>
      <c r="C816" s="4" t="s">
        <v>3798</v>
      </c>
      <c r="D816" s="1" t="s">
        <v>3799</v>
      </c>
      <c r="E816" s="1" t="s">
        <v>3800</v>
      </c>
      <c r="F816" s="4" t="s">
        <v>17</v>
      </c>
      <c r="G816" s="1" t="s">
        <v>18</v>
      </c>
      <c r="H816" s="1" t="s">
        <v>19</v>
      </c>
      <c r="I816" s="1" t="s">
        <v>20</v>
      </c>
      <c r="J816" s="1" t="s">
        <v>3801</v>
      </c>
      <c r="K816" s="1" t="s">
        <v>22</v>
      </c>
      <c r="L816" s="1" t="str">
        <f>HYPERLINK("https://files.afu.se/Downloads/Transcripts/0%20-%20Government/USA%20-%20NASA%20Kennedy/2016 02 05 - NASA's Kennedy Space Center - Inside KSC! Feb. 5, 2016_38qTfP3jcL8 - transcript (automated).pdf","Transcript Link")</f>
        <v>Transcript Link</v>
      </c>
      <c r="M816" s="2" t="str">
        <f>HYPERLINK("https://files.afu.se/Downloads/Transcripts/0%20-%20Government/USA%20-%20NASA%20Kennedy/2016 02 05 - NASA's Kennedy Space Center - Inside KSC! Feb. 5, 2016_38qTfP3jcL8 - transcript (automated).pdf","Transcript Link")</f>
        <v>Transcript Link</v>
      </c>
    </row>
    <row r="817" ht="180" spans="1:13">
      <c r="A817" s="1" t="s">
        <v>3802</v>
      </c>
      <c r="B817" s="1" t="s">
        <v>13</v>
      </c>
      <c r="C817" s="4" t="s">
        <v>3803</v>
      </c>
      <c r="D817" s="1" t="s">
        <v>3804</v>
      </c>
      <c r="E817" s="1" t="s">
        <v>3805</v>
      </c>
      <c r="F817" s="4" t="s">
        <v>17</v>
      </c>
      <c r="G817" s="1" t="s">
        <v>18</v>
      </c>
      <c r="H817" s="1" t="s">
        <v>19</v>
      </c>
      <c r="I817" s="1" t="s">
        <v>20</v>
      </c>
      <c r="J817" s="1" t="s">
        <v>3806</v>
      </c>
      <c r="K817" s="1" t="s">
        <v>22</v>
      </c>
      <c r="L817" s="1" t="str">
        <f>HYPERLINK("https://files.afu.se/Downloads/Transcripts/0%20-%20Government/USA%20-%20NASA%20Kennedy/2016 01 28 - NASA's Kennedy Space Center - Inside KSC! Jan. 29, 2016_WaM7PjxflCU - transcript (automated).pdf","Transcript Link")</f>
        <v>Transcript Link</v>
      </c>
      <c r="M817" s="2" t="str">
        <f>HYPERLINK("https://files.afu.se/Downloads/Transcripts/0%20-%20Government/USA%20-%20NASA%20Kennedy/2016 01 28 - NASA's Kennedy Space Center - Inside KSC! Jan. 29, 2016_WaM7PjxflCU - transcript (automated).pdf","Transcript Link")</f>
        <v>Transcript Link</v>
      </c>
    </row>
    <row r="818" ht="195" spans="1:13">
      <c r="A818" s="1" t="s">
        <v>3807</v>
      </c>
      <c r="B818" s="1" t="s">
        <v>13</v>
      </c>
      <c r="C818" s="4" t="s">
        <v>3808</v>
      </c>
      <c r="D818" s="1" t="s">
        <v>3809</v>
      </c>
      <c r="E818" s="1" t="s">
        <v>3810</v>
      </c>
      <c r="F818" s="4" t="s">
        <v>17</v>
      </c>
      <c r="G818" s="1" t="s">
        <v>18</v>
      </c>
      <c r="H818" s="1" t="s">
        <v>19</v>
      </c>
      <c r="I818" s="1" t="s">
        <v>20</v>
      </c>
      <c r="J818" s="1" t="s">
        <v>3811</v>
      </c>
      <c r="K818" s="1" t="s">
        <v>22</v>
      </c>
      <c r="L818" s="1" t="str">
        <f>HYPERLINK("https://files.afu.se/Downloads/Transcripts/0%20-%20Government/USA%20-%20NASA%20Kennedy/2016 01 27 - NASA's Kennedy Space Center - SpaceX Tests Crew Dragon Parachutes_4PG438XSarg - transcript (automated).pdf","Transcript Link")</f>
        <v>Transcript Link</v>
      </c>
      <c r="M818" s="2" t="str">
        <f>HYPERLINK("https://files.afu.se/Downloads/Transcripts/0%20-%20Government/USA%20-%20NASA%20Kennedy/2016 01 27 - NASA's Kennedy Space Center - SpaceX Tests Crew Dragon Parachutes_4PG438XSarg - transcript (automated).pdf","Transcript Link")</f>
        <v>Transcript Link</v>
      </c>
    </row>
    <row r="819" ht="180" spans="1:13">
      <c r="A819" s="1" t="s">
        <v>3812</v>
      </c>
      <c r="B819" s="1" t="s">
        <v>13</v>
      </c>
      <c r="C819" s="4" t="s">
        <v>3813</v>
      </c>
      <c r="D819" s="1" t="s">
        <v>3814</v>
      </c>
      <c r="E819" s="1" t="s">
        <v>3815</v>
      </c>
      <c r="F819" s="4" t="s">
        <v>17</v>
      </c>
      <c r="G819" s="1" t="s">
        <v>18</v>
      </c>
      <c r="H819" s="1" t="s">
        <v>19</v>
      </c>
      <c r="I819" s="1" t="s">
        <v>20</v>
      </c>
      <c r="J819" s="1" t="s">
        <v>3816</v>
      </c>
      <c r="K819" s="1" t="s">
        <v>22</v>
      </c>
      <c r="L819" s="1" t="str">
        <f>HYPERLINK("https://files.afu.se/Downloads/Transcripts/0%20-%20Government/USA%20-%20NASA%20Kennedy/2016 01 22 - NASA's Kennedy Space Center - Inside KSC! Jan. 22, 2016_G46MuTjvgFI - transcript (automated).pdf","Transcript Link")</f>
        <v>Transcript Link</v>
      </c>
      <c r="M819" s="2" t="str">
        <f>HYPERLINK("https://files.afu.se/Downloads/Transcripts/0%20-%20Government/USA%20-%20NASA%20Kennedy/2016 01 22 - NASA's Kennedy Space Center - Inside KSC! Jan. 22, 2016_G46MuTjvgFI - transcript (automated).pdf","Transcript Link")</f>
        <v>Transcript Link</v>
      </c>
    </row>
    <row r="820" ht="180" spans="1:13">
      <c r="A820" s="1" t="s">
        <v>3817</v>
      </c>
      <c r="B820" s="1" t="s">
        <v>13</v>
      </c>
      <c r="C820" s="4" t="s">
        <v>3818</v>
      </c>
      <c r="D820" s="1" t="s">
        <v>3819</v>
      </c>
      <c r="E820" s="1" t="s">
        <v>3820</v>
      </c>
      <c r="F820" s="4" t="s">
        <v>17</v>
      </c>
      <c r="G820" s="1" t="s">
        <v>18</v>
      </c>
      <c r="H820" s="1" t="s">
        <v>19</v>
      </c>
      <c r="I820" s="1" t="s">
        <v>20</v>
      </c>
      <c r="J820" s="1" t="s">
        <v>3821</v>
      </c>
      <c r="K820" s="1" t="s">
        <v>22</v>
      </c>
      <c r="L820" s="1" t="str">
        <f>HYPERLINK("https://files.afu.se/Downloads/Transcripts/0%20-%20Government/USA%20-%20NASA%20Kennedy/2016 01 17 - NASA's Kennedy Space Center - Interview with Jason-3 project manager_sqgffDXi5II - transcript (automated).pdf","Transcript Link")</f>
        <v>Transcript Link</v>
      </c>
      <c r="M820" s="2" t="str">
        <f>HYPERLINK("https://files.afu.se/Downloads/Transcripts/0%20-%20Government/USA%20-%20NASA%20Kennedy/2016 01 17 - NASA's Kennedy Space Center - Interview with Jason-3 project manager_sqgffDXi5II - transcript (automated).pdf","Transcript Link")</f>
        <v>Transcript Link</v>
      </c>
    </row>
    <row r="821" ht="180" spans="1:13">
      <c r="A821" s="1" t="s">
        <v>3817</v>
      </c>
      <c r="B821" s="1" t="s">
        <v>13</v>
      </c>
      <c r="C821" s="4" t="s">
        <v>3822</v>
      </c>
      <c r="D821" s="1" t="s">
        <v>3823</v>
      </c>
      <c r="E821" s="1" t="s">
        <v>3824</v>
      </c>
      <c r="F821" s="4" t="s">
        <v>17</v>
      </c>
      <c r="G821" s="1" t="s">
        <v>18</v>
      </c>
      <c r="H821" s="1" t="s">
        <v>19</v>
      </c>
      <c r="I821" s="1" t="s">
        <v>20</v>
      </c>
      <c r="J821" s="1" t="s">
        <v>3825</v>
      </c>
      <c r="K821" s="1" t="s">
        <v>22</v>
      </c>
      <c r="L821" s="1" t="str">
        <f>HYPERLINK("https://files.afu.se/Downloads/Transcripts/0%20-%20Government/USA%20-%20NASA%20Kennedy/2016 01 17 - NASA's Kennedy Space Center - Interview with NASA Launch Manager (Jason-3)_pzJxhtVJwmE - transcript (automated).pdf","Transcript Link")</f>
        <v>Transcript Link</v>
      </c>
      <c r="M821" s="2" t="str">
        <f>HYPERLINK("https://files.afu.se/Downloads/Transcripts/0%20-%20Government/USA%20-%20NASA%20Kennedy/2016 01 17 - NASA's Kennedy Space Center - Interview with NASA Launch Manager (Jason-3)_pzJxhtVJwmE - transcript (automated).pdf","Transcript Link")</f>
        <v>Transcript Link</v>
      </c>
    </row>
    <row r="822" ht="180" spans="1:13">
      <c r="A822" s="1" t="s">
        <v>3817</v>
      </c>
      <c r="B822" s="1" t="s">
        <v>13</v>
      </c>
      <c r="C822" s="4" t="s">
        <v>3826</v>
      </c>
      <c r="D822" s="1" t="s">
        <v>3827</v>
      </c>
      <c r="E822" s="1" t="s">
        <v>3828</v>
      </c>
      <c r="F822" s="4" t="s">
        <v>17</v>
      </c>
      <c r="G822" s="1" t="s">
        <v>18</v>
      </c>
      <c r="H822" s="1" t="s">
        <v>19</v>
      </c>
      <c r="I822" s="1" t="s">
        <v>20</v>
      </c>
      <c r="J822" s="1" t="s">
        <v>3829</v>
      </c>
      <c r="K822" s="1" t="s">
        <v>22</v>
      </c>
      <c r="L822" s="1" t="str">
        <f>HYPERLINK("https://files.afu.se/Downloads/Transcripts/0%20-%20Government/USA%20-%20NASA%20Kennedy/2016 01 17 - NASA's Kennedy Space Center - Jason-3 Spacecraft Separates from Upper Stage_dBFO4y0tO0M - transcript (automated).pdf","Transcript Link")</f>
        <v>Transcript Link</v>
      </c>
      <c r="M822" s="2" t="str">
        <f>HYPERLINK("https://files.afu.se/Downloads/Transcripts/0%20-%20Government/USA%20-%20NASA%20Kennedy/2016 01 17 - NASA's Kennedy Space Center - Jason-3 Spacecraft Separates from Upper Stage_dBFO4y0tO0M - transcript (automated).pdf","Transcript Link")</f>
        <v>Transcript Link</v>
      </c>
    </row>
    <row r="823" ht="180" spans="1:13">
      <c r="A823" s="1" t="s">
        <v>3817</v>
      </c>
      <c r="B823" s="1" t="s">
        <v>13</v>
      </c>
      <c r="C823" s="4" t="s">
        <v>3830</v>
      </c>
      <c r="D823" s="1" t="s">
        <v>3831</v>
      </c>
      <c r="E823" s="1" t="s">
        <v>3832</v>
      </c>
      <c r="F823" s="4" t="s">
        <v>17</v>
      </c>
      <c r="G823" s="1" t="s">
        <v>18</v>
      </c>
      <c r="H823" s="1" t="s">
        <v>19</v>
      </c>
      <c r="I823" s="1" t="s">
        <v>20</v>
      </c>
      <c r="J823" s="1" t="s">
        <v>3833</v>
      </c>
      <c r="K823" s="1" t="s">
        <v>22</v>
      </c>
      <c r="L823" s="1" t="str">
        <f>HYPERLINK("https://files.afu.se/Downloads/Transcripts/0%20-%20Government/USA%20-%20NASA%20Kennedy/2016 01 17 - NASA's Kennedy Space Center - Liftoff of Jason-3_m3BRi7XcELM - transcript (automated).pdf","Transcript Link")</f>
        <v>Transcript Link</v>
      </c>
      <c r="M823" s="2" t="str">
        <f>HYPERLINK("https://files.afu.se/Downloads/Transcripts/0%20-%20Government/USA%20-%20NASA%20Kennedy/2016 01 17 - NASA's Kennedy Space Center - Liftoff of Jason-3_m3BRi7XcELM - transcript (automated).pdf","Transcript Link")</f>
        <v>Transcript Link</v>
      </c>
    </row>
    <row r="824" ht="180" spans="1:13">
      <c r="A824" s="1" t="s">
        <v>3817</v>
      </c>
      <c r="B824" s="1" t="s">
        <v>13</v>
      </c>
      <c r="C824" s="4" t="s">
        <v>3834</v>
      </c>
      <c r="D824" s="1" t="s">
        <v>3835</v>
      </c>
      <c r="E824" s="1" t="s">
        <v>3836</v>
      </c>
      <c r="F824" s="4" t="s">
        <v>17</v>
      </c>
      <c r="G824" s="1" t="s">
        <v>18</v>
      </c>
      <c r="H824" s="1" t="s">
        <v>19</v>
      </c>
      <c r="I824" s="1" t="s">
        <v>20</v>
      </c>
      <c r="J824" s="1" t="s">
        <v>3837</v>
      </c>
      <c r="K824" s="1" t="s">
        <v>22</v>
      </c>
      <c r="L824" s="1" t="str">
        <f>HYPERLINK("https://files.afu.se/Downloads/Transcripts/0%20-%20Government/USA%20-%20NASA%20Kennedy/2016 01 17 - NASA's Kennedy Space Center - Jason-3, Falcon 9 are  Go  for Launch_kVWlbYrHTgI - transcript (automated).pdf","Transcript Link")</f>
        <v>Transcript Link</v>
      </c>
      <c r="M824" s="2" t="str">
        <f>HYPERLINK("https://files.afu.se/Downloads/Transcripts/0%20-%20Government/USA%20-%20NASA%20Kennedy/2016 01 17 - NASA's Kennedy Space Center - Jason-3, Falcon 9 are  Go  for Launch_kVWlbYrHTgI - transcript (automated).pdf","Transcript Link")</f>
        <v>Transcript Link</v>
      </c>
    </row>
    <row r="825" ht="180" spans="1:13">
      <c r="A825" s="1" t="s">
        <v>3817</v>
      </c>
      <c r="B825" s="1" t="s">
        <v>13</v>
      </c>
      <c r="C825" s="4" t="s">
        <v>3838</v>
      </c>
      <c r="D825" s="1" t="s">
        <v>3839</v>
      </c>
      <c r="E825" s="1" t="s">
        <v>3840</v>
      </c>
      <c r="F825" s="4" t="s">
        <v>17</v>
      </c>
      <c r="G825" s="1" t="s">
        <v>18</v>
      </c>
      <c r="H825" s="1" t="s">
        <v>19</v>
      </c>
      <c r="I825" s="1" t="s">
        <v>20</v>
      </c>
      <c r="J825" s="1" t="s">
        <v>3841</v>
      </c>
      <c r="K825" s="1" t="s">
        <v>22</v>
      </c>
      <c r="L825" s="1" t="str">
        <f>HYPERLINK("https://files.afu.se/Downloads/Transcripts/0%20-%20Government/USA%20-%20NASA%20Kennedy/2016 01 17 - NASA's Kennedy Space Center - News Media Views Falcon 9_36nO9ebt73Q - transcript (automated).pdf","Transcript Link")</f>
        <v>Transcript Link</v>
      </c>
      <c r="M825" s="2" t="str">
        <f>HYPERLINK("https://files.afu.se/Downloads/Transcripts/0%20-%20Government/USA%20-%20NASA%20Kennedy/2016 01 17 - NASA's Kennedy Space Center - News Media Views Falcon 9_36nO9ebt73Q - transcript (automated).pdf","Transcript Link")</f>
        <v>Transcript Link</v>
      </c>
    </row>
    <row r="826" ht="180" spans="1:13">
      <c r="A826" s="1" t="s">
        <v>3817</v>
      </c>
      <c r="B826" s="1" t="s">
        <v>13</v>
      </c>
      <c r="C826" s="4" t="s">
        <v>3842</v>
      </c>
      <c r="D826" s="1" t="s">
        <v>3843</v>
      </c>
      <c r="E826" s="1" t="s">
        <v>3844</v>
      </c>
      <c r="F826" s="4" t="s">
        <v>17</v>
      </c>
      <c r="G826" s="1" t="s">
        <v>18</v>
      </c>
      <c r="H826" s="1" t="s">
        <v>19</v>
      </c>
      <c r="I826" s="1" t="s">
        <v>20</v>
      </c>
      <c r="J826" s="1" t="s">
        <v>3845</v>
      </c>
      <c r="K826" s="1" t="s">
        <v>22</v>
      </c>
      <c r="L826" s="1" t="str">
        <f>HYPERLINK("https://files.afu.se/Downloads/Transcripts/0%20-%20Government/USA%20-%20NASA%20Kennedy/2016 01 17 - NASA's Kennedy Space Center - Jason-3 Ready for Launch atop Falcon 9_QH4M9ZOqXhY - transcript (automated).pdf","Transcript Link")</f>
        <v>Transcript Link</v>
      </c>
      <c r="M826" s="2" t="str">
        <f>HYPERLINK("https://files.afu.se/Downloads/Transcripts/0%20-%20Government/USA%20-%20NASA%20Kennedy/2016 01 17 - NASA's Kennedy Space Center - Jason-3 Ready for Launch atop Falcon 9_QH4M9ZOqXhY - transcript (automated).pdf","Transcript Link")</f>
        <v>Transcript Link</v>
      </c>
    </row>
    <row r="827" ht="180" spans="1:13">
      <c r="A827" s="1" t="s">
        <v>3846</v>
      </c>
      <c r="B827" s="1" t="s">
        <v>13</v>
      </c>
      <c r="C827" s="4" t="s">
        <v>3847</v>
      </c>
      <c r="D827" s="1" t="s">
        <v>3848</v>
      </c>
      <c r="E827" s="1" t="s">
        <v>3849</v>
      </c>
      <c r="F827" s="4" t="s">
        <v>17</v>
      </c>
      <c r="G827" s="1" t="s">
        <v>18</v>
      </c>
      <c r="H827" s="1" t="s">
        <v>19</v>
      </c>
      <c r="I827" s="1" t="s">
        <v>20</v>
      </c>
      <c r="J827" s="1" t="s">
        <v>3850</v>
      </c>
      <c r="K827" s="1" t="s">
        <v>22</v>
      </c>
      <c r="L827" s="1" t="str">
        <f>HYPERLINK("https://files.afu.se/Downloads/Transcripts/0%20-%20Government/USA%20-%20NASA%20Kennedy/2016 01 15 - NASA's Kennedy Space Center - Inside KSC! Jan. 15, 2016_3kYiK6Bbt3I - transcript (automated).pdf","Transcript Link")</f>
        <v>Transcript Link</v>
      </c>
      <c r="M827" s="2" t="str">
        <f>HYPERLINK("https://files.afu.se/Downloads/Transcripts/0%20-%20Government/USA%20-%20NASA%20Kennedy/2016 01 15 - NASA's Kennedy Space Center - Inside KSC! Jan. 15, 2016_3kYiK6Bbt3I - transcript (automated).pdf","Transcript Link")</f>
        <v>Transcript Link</v>
      </c>
    </row>
    <row r="828" ht="180" spans="1:13">
      <c r="A828" s="1" t="s">
        <v>3846</v>
      </c>
      <c r="B828" s="1" t="s">
        <v>13</v>
      </c>
      <c r="C828" s="4" t="s">
        <v>3851</v>
      </c>
      <c r="D828" s="1" t="s">
        <v>3852</v>
      </c>
      <c r="E828" s="1" t="s">
        <v>3853</v>
      </c>
      <c r="F828" s="4" t="s">
        <v>17</v>
      </c>
      <c r="G828" s="1" t="s">
        <v>18</v>
      </c>
      <c r="H828" s="1" t="s">
        <v>19</v>
      </c>
      <c r="I828" s="1" t="s">
        <v>20</v>
      </c>
      <c r="J828" s="1" t="s">
        <v>3854</v>
      </c>
      <c r="K828" s="1" t="s">
        <v>22</v>
      </c>
      <c r="L828" s="1" t="str">
        <f>HYPERLINK("https://files.afu.se/Downloads/Transcripts/0%20-%20Government/USA%20-%20NASA%20Kennedy/2016 01 15 - NASA's Kennedy Space Center - Jason-3  Studying the Earth's Oceans from Space_wA4XRpZ9gms - transcript (automated).pdf","Transcript Link")</f>
        <v>Transcript Link</v>
      </c>
      <c r="M828" s="2" t="str">
        <f>HYPERLINK("https://files.afu.se/Downloads/Transcripts/0%20-%20Government/USA%20-%20NASA%20Kennedy/2016 01 15 - NASA's Kennedy Space Center - Jason-3  Studying the Earth's Oceans from Space_wA4XRpZ9gms - transcript (automated).pdf","Transcript Link")</f>
        <v>Transcript Link</v>
      </c>
    </row>
    <row r="829" ht="180" spans="1:13">
      <c r="A829" s="1" t="s">
        <v>3855</v>
      </c>
      <c r="B829" s="1" t="s">
        <v>13</v>
      </c>
      <c r="C829" s="4" t="s">
        <v>3856</v>
      </c>
      <c r="D829" s="1" t="s">
        <v>3857</v>
      </c>
      <c r="E829" s="1" t="s">
        <v>3858</v>
      </c>
      <c r="F829" s="4" t="s">
        <v>17</v>
      </c>
      <c r="G829" s="1" t="s">
        <v>18</v>
      </c>
      <c r="H829" s="1" t="s">
        <v>19</v>
      </c>
      <c r="I829" s="1" t="s">
        <v>20</v>
      </c>
      <c r="J829" s="1" t="s">
        <v>3859</v>
      </c>
      <c r="K829" s="1" t="s">
        <v>22</v>
      </c>
      <c r="L829" s="1" t="str">
        <f>HYPERLINK("https://files.afu.se/Downloads/Transcripts/0%20-%20Government/USA%20-%20NASA%20Kennedy/2016 01 08 - NASA's Kennedy Space Center - Inside KSC! Jan. 8, 2016_ZqzH0Gm6gnc - transcript (automated).pdf","Transcript Link")</f>
        <v>Transcript Link</v>
      </c>
      <c r="M829" s="2" t="str">
        <f>HYPERLINK("https://files.afu.se/Downloads/Transcripts/0%20-%20Government/USA%20-%20NASA%20Kennedy/2016 01 08 - NASA's Kennedy Space Center - Inside KSC! Jan. 8, 2016_ZqzH0Gm6gnc - transcript (automated).pdf","Transcript Link")</f>
        <v>Transcript Link</v>
      </c>
    </row>
    <row r="830" ht="180" spans="1:13">
      <c r="A830" s="1" t="s">
        <v>3860</v>
      </c>
      <c r="B830" s="1" t="s">
        <v>13</v>
      </c>
      <c r="C830" s="4" t="s">
        <v>3861</v>
      </c>
      <c r="D830" s="1" t="s">
        <v>3862</v>
      </c>
      <c r="E830" s="1" t="s">
        <v>3863</v>
      </c>
      <c r="F830" s="4" t="s">
        <v>17</v>
      </c>
      <c r="G830" s="1" t="s">
        <v>18</v>
      </c>
      <c r="H830" s="1" t="s">
        <v>19</v>
      </c>
      <c r="I830" s="1" t="s">
        <v>20</v>
      </c>
      <c r="J830" s="1" t="s">
        <v>3864</v>
      </c>
      <c r="K830" s="1" t="s">
        <v>22</v>
      </c>
      <c r="L830" s="1" t="str">
        <f>HYPERLINK("https://files.afu.se/Downloads/Transcripts/0%20-%20Government/USA%20-%20NASA%20Kennedy/2015 12 24 - NASA's Kennedy Space Center - Liftoff of SpaceX Falcon 9 ORBCOMM-2_cQ_IueWEPas - transcript (automated).pdf","Transcript Link")</f>
        <v>Transcript Link</v>
      </c>
      <c r="M830" s="2" t="str">
        <f>HYPERLINK("https://files.afu.se/Downloads/Transcripts/0%20-%20Government/USA%20-%20NASA%20Kennedy/2015 12 24 - NASA's Kennedy Space Center - Liftoff of SpaceX Falcon 9 ORBCOMM-2_cQ_IueWEPas - transcript (automated).pdf","Transcript Link")</f>
        <v>Transcript Link</v>
      </c>
    </row>
    <row r="831" ht="180" spans="1:13">
      <c r="A831" s="1" t="s">
        <v>3860</v>
      </c>
      <c r="B831" s="1" t="s">
        <v>13</v>
      </c>
      <c r="C831" s="4" t="s">
        <v>3865</v>
      </c>
      <c r="D831" s="1" t="s">
        <v>3866</v>
      </c>
      <c r="E831" s="1" t="s">
        <v>3867</v>
      </c>
      <c r="F831" s="4" t="s">
        <v>17</v>
      </c>
      <c r="G831" s="1" t="s">
        <v>18</v>
      </c>
      <c r="H831" s="1" t="s">
        <v>19</v>
      </c>
      <c r="I831" s="1" t="s">
        <v>20</v>
      </c>
      <c r="J831" s="1" t="s">
        <v>3868</v>
      </c>
      <c r="K831" s="1" t="s">
        <v>22</v>
      </c>
      <c r="L831" s="1" t="str">
        <f>HYPERLINK("https://files.afu.se/Downloads/Transcripts/0%20-%20Government/USA%20-%20NASA%20Kennedy/2015 12 24 - NASA's Kennedy Space Center - SpaceX Falcon 9 Booster Lands After Orbcomm Launch_hCeIG06iAEA - transcript (automated).pdf","Transcript Link")</f>
        <v>Transcript Link</v>
      </c>
      <c r="M831" s="2" t="str">
        <f>HYPERLINK("https://files.afu.se/Downloads/Transcripts/0%20-%20Government/USA%20-%20NASA%20Kennedy/2015 12 24 - NASA's Kennedy Space Center - SpaceX Falcon 9 Booster Lands After Orbcomm Launch_hCeIG06iAEA - transcript (automated).pdf","Transcript Link")</f>
        <v>Transcript Link</v>
      </c>
    </row>
    <row r="832" ht="180" spans="1:13">
      <c r="A832" s="1" t="s">
        <v>3869</v>
      </c>
      <c r="B832" s="1" t="s">
        <v>13</v>
      </c>
      <c r="C832" s="4" t="s">
        <v>3870</v>
      </c>
      <c r="D832" s="1" t="s">
        <v>3871</v>
      </c>
      <c r="E832" s="1" t="s">
        <v>3872</v>
      </c>
      <c r="F832" s="4" t="s">
        <v>17</v>
      </c>
      <c r="G832" s="1" t="s">
        <v>18</v>
      </c>
      <c r="H832" s="1" t="s">
        <v>19</v>
      </c>
      <c r="I832" s="1" t="s">
        <v>20</v>
      </c>
      <c r="J832" s="1" t="s">
        <v>3873</v>
      </c>
      <c r="K832" s="1" t="s">
        <v>22</v>
      </c>
      <c r="L832" s="1">
        <v>0</v>
      </c>
      <c r="M832" s="2">
        <v>0</v>
      </c>
    </row>
    <row r="833" ht="195" spans="1:13">
      <c r="A833" s="1" t="s">
        <v>3874</v>
      </c>
      <c r="B833" s="1" t="s">
        <v>13</v>
      </c>
      <c r="C833" s="4" t="s">
        <v>3875</v>
      </c>
      <c r="D833" s="1" t="s">
        <v>3876</v>
      </c>
      <c r="E833" s="1" t="s">
        <v>3877</v>
      </c>
      <c r="F833" s="4" t="s">
        <v>17</v>
      </c>
      <c r="G833" s="1" t="s">
        <v>18</v>
      </c>
      <c r="H833" s="1" t="s">
        <v>19</v>
      </c>
      <c r="I833" s="1" t="s">
        <v>20</v>
      </c>
      <c r="J833" s="1" t="s">
        <v>3878</v>
      </c>
      <c r="K833" s="1" t="s">
        <v>22</v>
      </c>
      <c r="L833" s="1" t="str">
        <f>HYPERLINK("https://files.afu.se/Downloads/Transcripts/0%20-%20Government/USA%20-%20NASA%20Kennedy/2015 12 22 - NASA's Kennedy Space Center - 2015  NASA's Commercial Crew Advances Toward Flight_QpyvBa9nm2w - transcript (automated).pdf","Transcript Link")</f>
        <v>Transcript Link</v>
      </c>
      <c r="M833" s="2" t="str">
        <f>HYPERLINK("https://files.afu.se/Downloads/Transcripts/0%20-%20Government/USA%20-%20NASA%20Kennedy/2015 12 22 - NASA's Kennedy Space Center - 2015  NASA's Commercial Crew Advances Toward Flight_QpyvBa9nm2w - transcript (automated).pdf","Transcript Link")</f>
        <v>Transcript Link</v>
      </c>
    </row>
    <row r="834" ht="180" spans="1:13">
      <c r="A834" s="1" t="s">
        <v>3879</v>
      </c>
      <c r="B834" s="1" t="s">
        <v>13</v>
      </c>
      <c r="C834" s="4" t="s">
        <v>3880</v>
      </c>
      <c r="D834" s="1" t="s">
        <v>3881</v>
      </c>
      <c r="E834" s="1" t="s">
        <v>3882</v>
      </c>
      <c r="F834" s="4" t="s">
        <v>17</v>
      </c>
      <c r="G834" s="1" t="s">
        <v>18</v>
      </c>
      <c r="H834" s="1" t="s">
        <v>19</v>
      </c>
      <c r="I834" s="1" t="s">
        <v>20</v>
      </c>
      <c r="J834" s="1" t="s">
        <v>3883</v>
      </c>
      <c r="K834" s="1" t="s">
        <v>22</v>
      </c>
      <c r="L834" s="1" t="str">
        <f>HYPERLINK("https://files.afu.se/Downloads/Transcripts/0%20-%20Government/USA%20-%20NASA%20Kennedy/2015 12 18 - NASA's Kennedy Space Center - Inside KSC! Dec. 18, 2015_uDiBIXksBrs - transcript (automated).pdf","Transcript Link")</f>
        <v>Transcript Link</v>
      </c>
      <c r="M834" s="2" t="str">
        <f>HYPERLINK("https://files.afu.se/Downloads/Transcripts/0%20-%20Government/USA%20-%20NASA%20Kennedy/2015 12 18 - NASA's Kennedy Space Center - Inside KSC! Dec. 18, 2015_uDiBIXksBrs - transcript (automated).pdf","Transcript Link")</f>
        <v>Transcript Link</v>
      </c>
    </row>
    <row r="835" ht="210" spans="1:13">
      <c r="A835" s="1" t="s">
        <v>3884</v>
      </c>
      <c r="B835" s="1" t="s">
        <v>13</v>
      </c>
      <c r="C835" s="4" t="s">
        <v>3885</v>
      </c>
      <c r="D835" s="1" t="s">
        <v>3886</v>
      </c>
      <c r="E835" s="1" t="s">
        <v>3887</v>
      </c>
      <c r="F835" s="4" t="s">
        <v>17</v>
      </c>
      <c r="G835" s="1" t="s">
        <v>18</v>
      </c>
      <c r="H835" s="1" t="s">
        <v>19</v>
      </c>
      <c r="I835" s="1" t="s">
        <v>20</v>
      </c>
      <c r="J835" s="1" t="s">
        <v>3888</v>
      </c>
      <c r="K835" s="1" t="s">
        <v>22</v>
      </c>
      <c r="L835" s="1" t="str">
        <f>HYPERLINK("https://files.afu.se/Downloads/Transcripts/0%20-%20Government/USA%20-%20NASA%20Kennedy/2015 12 17 - NASA's Kennedy Space Center - Astronauts Tour Starliner White Room, Celebrate Topping of Access Tower_ZtUmo_8NLGE - transcript (automated).pdf","Transcript Link")</f>
        <v>Transcript Link</v>
      </c>
      <c r="M835" s="2" t="str">
        <f>HYPERLINK("https://files.afu.se/Downloads/Transcripts/0%20-%20Government/USA%20-%20NASA%20Kennedy/2015 12 17 - NASA's Kennedy Space Center - Astronauts Tour Starliner White Room, Celebrate Topping of Access Tower_ZtUmo_8NLGE - transcript (automated).pdf","Transcript Link")</f>
        <v>Transcript Link</v>
      </c>
    </row>
    <row r="836" ht="180" spans="1:13">
      <c r="A836" s="1" t="s">
        <v>3889</v>
      </c>
      <c r="B836" s="1" t="s">
        <v>13</v>
      </c>
      <c r="C836" s="4" t="s">
        <v>3890</v>
      </c>
      <c r="D836" s="1" t="s">
        <v>3891</v>
      </c>
      <c r="E836" s="1" t="s">
        <v>3892</v>
      </c>
      <c r="F836" s="4" t="s">
        <v>17</v>
      </c>
      <c r="G836" s="1" t="s">
        <v>18</v>
      </c>
      <c r="H836" s="1" t="s">
        <v>19</v>
      </c>
      <c r="I836" s="1" t="s">
        <v>20</v>
      </c>
      <c r="J836" s="1" t="s">
        <v>3893</v>
      </c>
      <c r="K836" s="1" t="s">
        <v>22</v>
      </c>
      <c r="L836" s="1" t="str">
        <f>HYPERLINK("https://files.afu.se/Downloads/Transcripts/0%20-%20Government/USA%20-%20NASA%20Kennedy/2015 12 11 - NASA's Kennedy Space Center - Inside KSC! Dec. 11, 2015_loqk1PaoFcw - transcript (automated).pdf","Transcript Link")</f>
        <v>Transcript Link</v>
      </c>
      <c r="M836" s="2" t="str">
        <f>HYPERLINK("https://files.afu.se/Downloads/Transcripts/0%20-%20Government/USA%20-%20NASA%20Kennedy/2015 12 11 - NASA's Kennedy Space Center - Inside KSC! Dec. 11, 2015_loqk1PaoFcw - transcript (automated).pdf","Transcript Link")</f>
        <v>Transcript Link</v>
      </c>
    </row>
    <row r="837" ht="180" spans="1:13">
      <c r="A837" s="1" t="s">
        <v>3894</v>
      </c>
      <c r="B837" s="1" t="s">
        <v>13</v>
      </c>
      <c r="C837" s="4" t="s">
        <v>3895</v>
      </c>
      <c r="D837" s="1" t="s">
        <v>3896</v>
      </c>
      <c r="E837" s="1" t="s">
        <v>3897</v>
      </c>
      <c r="F837" s="4" t="s">
        <v>17</v>
      </c>
      <c r="G837" s="1" t="s">
        <v>18</v>
      </c>
      <c r="H837" s="1" t="s">
        <v>19</v>
      </c>
      <c r="I837" s="1" t="s">
        <v>20</v>
      </c>
      <c r="J837" s="1" t="s">
        <v>3898</v>
      </c>
      <c r="K837" s="1" t="s">
        <v>22</v>
      </c>
      <c r="L837" s="1" t="str">
        <f>HYPERLINK("https://files.afu.se/Downloads/Transcripts/0%20-%20Government/USA%20-%20NASA%20Kennedy/2015 12 07 - NASA's Kennedy Space Center - Interview with ‎Orbital ATK Vice President Frank DeMauro_hM5fcxFwcHk - transcript (automated).pdf","Transcript Link")</f>
        <v>Transcript Link</v>
      </c>
      <c r="M837" s="2" t="str">
        <f>HYPERLINK("https://files.afu.se/Downloads/Transcripts/0%20-%20Government/USA%20-%20NASA%20Kennedy/2015 12 07 - NASA's Kennedy Space Center - Interview with ‎Orbital ATK Vice President Frank DeMauro_hM5fcxFwcHk - transcript (automated).pdf","Transcript Link")</f>
        <v>Transcript Link</v>
      </c>
    </row>
    <row r="838" ht="180" spans="1:13">
      <c r="A838" s="1" t="s">
        <v>3899</v>
      </c>
      <c r="B838" s="1" t="s">
        <v>13</v>
      </c>
      <c r="C838" s="4" t="s">
        <v>3900</v>
      </c>
      <c r="D838" s="1" t="s">
        <v>3901</v>
      </c>
      <c r="E838" s="1" t="s">
        <v>3902</v>
      </c>
      <c r="F838" s="4" t="s">
        <v>17</v>
      </c>
      <c r="G838" s="1" t="s">
        <v>18</v>
      </c>
      <c r="H838" s="1" t="s">
        <v>19</v>
      </c>
      <c r="I838" s="1" t="s">
        <v>20</v>
      </c>
      <c r="J838" s="1" t="s">
        <v>3903</v>
      </c>
      <c r="K838" s="1" t="s">
        <v>22</v>
      </c>
      <c r="L838" s="1" t="str">
        <f>HYPERLINK("https://files.afu.se/Downloads/Transcripts/0%20-%20Government/USA%20-%20NASA%20Kennedy/2015 12 06 - NASA's Kennedy Space Center - Orbital ATK CRS-4 Cygnus Spacecraft Separation_bHY-yUA4Hds - transcript (automated).pdf","Transcript Link")</f>
        <v>Transcript Link</v>
      </c>
      <c r="M838" s="2" t="str">
        <f>HYPERLINK("https://files.afu.se/Downloads/Transcripts/0%20-%20Government/USA%20-%20NASA%20Kennedy/2015 12 06 - NASA's Kennedy Space Center - Orbital ATK CRS-4 Cygnus Spacecraft Separation_bHY-yUA4Hds - transcript (automated).pdf","Transcript Link")</f>
        <v>Transcript Link</v>
      </c>
    </row>
    <row r="839" ht="180" spans="1:13">
      <c r="A839" s="1" t="s">
        <v>3899</v>
      </c>
      <c r="B839" s="1" t="s">
        <v>13</v>
      </c>
      <c r="C839" s="4" t="s">
        <v>3904</v>
      </c>
      <c r="D839" s="1" t="s">
        <v>3905</v>
      </c>
      <c r="E839" s="1" t="s">
        <v>3906</v>
      </c>
      <c r="F839" s="4" t="s">
        <v>17</v>
      </c>
      <c r="G839" s="1" t="s">
        <v>18</v>
      </c>
      <c r="H839" s="1" t="s">
        <v>19</v>
      </c>
      <c r="I839" s="1" t="s">
        <v>20</v>
      </c>
      <c r="J839" s="1" t="s">
        <v>3907</v>
      </c>
      <c r="K839" s="1" t="s">
        <v>22</v>
      </c>
      <c r="L839" s="1" t="str">
        <f>HYPERLINK("https://files.afu.se/Downloads/Transcripts/0%20-%20Government/USA%20-%20NASA%20Kennedy/2015 12 06 - NASA's Kennedy Space Center - Liftoff of Orbital ATK CRS-4_UlqFAKJuK24 - transcript (automated).pdf","Transcript Link")</f>
        <v>Transcript Link</v>
      </c>
      <c r="M839" s="2" t="str">
        <f>HYPERLINK("https://files.afu.se/Downloads/Transcripts/0%20-%20Government/USA%20-%20NASA%20Kennedy/2015 12 06 - NASA's Kennedy Space Center - Liftoff of Orbital ATK CRS-4_UlqFAKJuK24 - transcript (automated).pdf","Transcript Link")</f>
        <v>Transcript Link</v>
      </c>
    </row>
    <row r="840" ht="180" spans="1:13">
      <c r="A840" s="1" t="s">
        <v>3899</v>
      </c>
      <c r="B840" s="1" t="s">
        <v>13</v>
      </c>
      <c r="C840" s="4" t="s">
        <v>3908</v>
      </c>
      <c r="D840" s="1" t="s">
        <v>3909</v>
      </c>
      <c r="E840" s="1" t="s">
        <v>3082</v>
      </c>
      <c r="F840" s="4" t="s">
        <v>17</v>
      </c>
      <c r="G840" s="1" t="s">
        <v>18</v>
      </c>
      <c r="H840" s="1" t="s">
        <v>19</v>
      </c>
      <c r="I840" s="1" t="s">
        <v>20</v>
      </c>
      <c r="J840" s="1" t="s">
        <v>3910</v>
      </c>
      <c r="K840" s="1" t="s">
        <v>22</v>
      </c>
      <c r="L840" s="1" t="str">
        <f>HYPERLINK("https://files.afu.se/Downloads/Transcripts/0%20-%20Government/USA%20-%20NASA%20Kennedy/2015 12 06 - NASA's Kennedy Space Center - Atlas V Ready to Launch Cygnus Spacecraft_MCRssVdabEg - transcript (automated).pdf","Transcript Link")</f>
        <v>Transcript Link</v>
      </c>
      <c r="M840" s="2" t="str">
        <f>HYPERLINK("https://files.afu.se/Downloads/Transcripts/0%20-%20Government/USA%20-%20NASA%20Kennedy/2015 12 06 - NASA's Kennedy Space Center - Atlas V Ready to Launch Cygnus Spacecraft_MCRssVdabEg - transcript (automated).pdf","Transcript Link")</f>
        <v>Transcript Link</v>
      </c>
    </row>
    <row r="841" ht="180" spans="1:13">
      <c r="A841" s="1" t="s">
        <v>3899</v>
      </c>
      <c r="B841" s="1" t="s">
        <v>13</v>
      </c>
      <c r="C841" s="4" t="s">
        <v>3911</v>
      </c>
      <c r="D841" s="1" t="s">
        <v>3912</v>
      </c>
      <c r="E841" s="1" t="s">
        <v>3913</v>
      </c>
      <c r="F841" s="4" t="s">
        <v>17</v>
      </c>
      <c r="G841" s="1" t="s">
        <v>18</v>
      </c>
      <c r="H841" s="1" t="s">
        <v>19</v>
      </c>
      <c r="I841" s="1" t="s">
        <v>20</v>
      </c>
      <c r="J841" s="1" t="s">
        <v>3914</v>
      </c>
      <c r="K841" s="1" t="s">
        <v>22</v>
      </c>
      <c r="L841" s="1" t="str">
        <f>HYPERLINK("https://files.afu.se/Downloads/Transcripts/0%20-%20Government/USA%20-%20NASA%20Kennedy/2015 12 06 - NASA's Kennedy Space Center - Countdown Again Underway for Orbital ATK CRS-4_Z-7xQzrovTQ - transcript (automated).pdf","Transcript Link")</f>
        <v>Transcript Link</v>
      </c>
      <c r="M841" s="2" t="str">
        <f>HYPERLINK("https://files.afu.se/Downloads/Transcripts/0%20-%20Government/USA%20-%20NASA%20Kennedy/2015 12 06 - NASA's Kennedy Space Center - Countdown Again Underway for Orbital ATK CRS-4_Z-7xQzrovTQ - transcript (automated).pdf","Transcript Link")</f>
        <v>Transcript Link</v>
      </c>
    </row>
    <row r="842" ht="180" spans="1:13">
      <c r="A842" s="1" t="s">
        <v>3915</v>
      </c>
      <c r="B842" s="1" t="s">
        <v>13</v>
      </c>
      <c r="C842" s="4" t="s">
        <v>3916</v>
      </c>
      <c r="D842" s="1" t="s">
        <v>3917</v>
      </c>
      <c r="E842" s="1" t="s">
        <v>3918</v>
      </c>
      <c r="F842" s="4" t="s">
        <v>17</v>
      </c>
      <c r="G842" s="1" t="s">
        <v>18</v>
      </c>
      <c r="H842" s="1" t="s">
        <v>19</v>
      </c>
      <c r="I842" s="1" t="s">
        <v>20</v>
      </c>
      <c r="J842" s="1" t="s">
        <v>3919</v>
      </c>
      <c r="K842" s="1" t="s">
        <v>22</v>
      </c>
      <c r="L842" s="1" t="str">
        <f>HYPERLINK("https://files.afu.se/Downloads/Transcripts/0%20-%20Government/USA%20-%20NASA%20Kennedy/2015 12 04 - NASA's Kennedy Space Center - Orbital ATK CRS-4 Launch Postponed Due to High Winds_mpzH8Hablwg - transcript (automated).pdf","Transcript Link")</f>
        <v>Transcript Link</v>
      </c>
      <c r="M842" s="2" t="str">
        <f>HYPERLINK("https://files.afu.se/Downloads/Transcripts/0%20-%20Government/USA%20-%20NASA%20Kennedy/2015 12 04 - NASA's Kennedy Space Center - Orbital ATK CRS-4 Launch Postponed Due to High Winds_mpzH8Hablwg - transcript (automated).pdf","Transcript Link")</f>
        <v>Transcript Link</v>
      </c>
    </row>
    <row r="843" ht="180" spans="1:13">
      <c r="A843" s="1" t="s">
        <v>3915</v>
      </c>
      <c r="B843" s="1" t="s">
        <v>13</v>
      </c>
      <c r="C843" s="4" t="s">
        <v>3920</v>
      </c>
      <c r="D843" s="1" t="s">
        <v>3921</v>
      </c>
      <c r="E843" s="1" t="s">
        <v>3922</v>
      </c>
      <c r="F843" s="4" t="s">
        <v>17</v>
      </c>
      <c r="G843" s="1" t="s">
        <v>18</v>
      </c>
      <c r="H843" s="1" t="s">
        <v>19</v>
      </c>
      <c r="I843" s="1" t="s">
        <v>20</v>
      </c>
      <c r="J843" s="1" t="s">
        <v>3923</v>
      </c>
      <c r="K843" s="1" t="s">
        <v>22</v>
      </c>
      <c r="L843" s="1" t="str">
        <f>HYPERLINK("https://files.afu.se/Downloads/Transcripts/0%20-%20Government/USA%20-%20NASA%20Kennedy/2015 12 04 - NASA's Kennedy Space Center - Second Countdown Underway for Orbital ATK CRS-4_8YXIZUxxImQ - transcript (automated).pdf","Transcript Link")</f>
        <v>Transcript Link</v>
      </c>
      <c r="M843" s="2" t="str">
        <f>HYPERLINK("https://files.afu.se/Downloads/Transcripts/0%20-%20Government/USA%20-%20NASA%20Kennedy/2015 12 04 - NASA's Kennedy Space Center - Second Countdown Underway for Orbital ATK CRS-4_8YXIZUxxImQ - transcript (automated).pdf","Transcript Link")</f>
        <v>Transcript Link</v>
      </c>
    </row>
    <row r="844" ht="180" spans="1:13">
      <c r="A844" s="1" t="s">
        <v>3915</v>
      </c>
      <c r="B844" s="1" t="s">
        <v>13</v>
      </c>
      <c r="C844" s="4" t="s">
        <v>3924</v>
      </c>
      <c r="D844" s="1" t="s">
        <v>3925</v>
      </c>
      <c r="E844" s="1" t="s">
        <v>3926</v>
      </c>
      <c r="F844" s="4" t="s">
        <v>17</v>
      </c>
      <c r="G844" s="1" t="s">
        <v>18</v>
      </c>
      <c r="H844" s="1" t="s">
        <v>19</v>
      </c>
      <c r="I844" s="1" t="s">
        <v>20</v>
      </c>
      <c r="J844" s="1" t="s">
        <v>3927</v>
      </c>
      <c r="K844" s="1" t="s">
        <v>22</v>
      </c>
      <c r="L844" s="1" t="str">
        <f>HYPERLINK("https://files.afu.se/Downloads/Transcripts/0%20-%20Government/USA%20-%20NASA%20Kennedy/2015 12 04 - NASA's Kennedy Space Center - Inside KSC! Dec. 4, 2015_abKTvFTdfd4 - transcript (automated).pdf","Transcript Link")</f>
        <v>Transcript Link</v>
      </c>
      <c r="M844" s="2" t="str">
        <f>HYPERLINK("https://files.afu.se/Downloads/Transcripts/0%20-%20Government/USA%20-%20NASA%20Kennedy/2015 12 04 - NASA's Kennedy Space Center - Inside KSC! Dec. 4, 2015_abKTvFTdfd4 - transcript (automated).pdf","Transcript Link")</f>
        <v>Transcript Link</v>
      </c>
    </row>
    <row r="845" ht="180" spans="1:13">
      <c r="A845" s="1" t="s">
        <v>3928</v>
      </c>
      <c r="B845" s="1" t="s">
        <v>13</v>
      </c>
      <c r="C845" s="4" t="s">
        <v>3929</v>
      </c>
      <c r="D845" s="1" t="s">
        <v>3930</v>
      </c>
      <c r="E845" s="1" t="s">
        <v>3931</v>
      </c>
      <c r="F845" s="4" t="s">
        <v>17</v>
      </c>
      <c r="G845" s="1" t="s">
        <v>18</v>
      </c>
      <c r="H845" s="1" t="s">
        <v>19</v>
      </c>
      <c r="I845" s="1" t="s">
        <v>20</v>
      </c>
      <c r="J845" s="1" t="s">
        <v>3932</v>
      </c>
      <c r="K845" s="1" t="s">
        <v>22</v>
      </c>
      <c r="L845" s="1" t="str">
        <f>HYPERLINK("https://files.afu.se/Downloads/Transcripts/0%20-%20Government/USA%20-%20NASA%20Kennedy/2015 12 03 - NASA's Kennedy Space Center - Countdown Underway for Orbital ATK CRS-4_3SA4V1s_u1I - transcript (automated).pdf","Transcript Link")</f>
        <v>Transcript Link</v>
      </c>
      <c r="M845" s="2" t="str">
        <f>HYPERLINK("https://files.afu.se/Downloads/Transcripts/0%20-%20Government/USA%20-%20NASA%20Kennedy/2015 12 03 - NASA's Kennedy Space Center - Countdown Underway for Orbital ATK CRS-4_3SA4V1s_u1I - transcript (automated).pdf","Transcript Link")</f>
        <v>Transcript Link</v>
      </c>
    </row>
    <row r="846" ht="180" spans="1:13">
      <c r="A846" s="1" t="s">
        <v>3928</v>
      </c>
      <c r="B846" s="1" t="s">
        <v>13</v>
      </c>
      <c r="C846" s="4" t="s">
        <v>3933</v>
      </c>
      <c r="D846" s="1" t="s">
        <v>3934</v>
      </c>
      <c r="E846" s="1" t="s">
        <v>3935</v>
      </c>
      <c r="F846" s="4" t="s">
        <v>17</v>
      </c>
      <c r="G846" s="1" t="s">
        <v>18</v>
      </c>
      <c r="H846" s="1" t="s">
        <v>19</v>
      </c>
      <c r="I846" s="1" t="s">
        <v>20</v>
      </c>
      <c r="J846" s="1" t="s">
        <v>3936</v>
      </c>
      <c r="K846" s="1" t="s">
        <v>22</v>
      </c>
      <c r="L846" s="1" t="str">
        <f>HYPERLINK("https://files.afu.se/Downloads/Transcripts/0%20-%20Government/USA%20-%20NASA%20Kennedy/2015 12 03 - NASA's Kennedy Space Center - Orbital ATK CRS-4 Atlas V Rolls to Launch Pad_6yfRzMk6jd8 - transcript (automated).pdf","Transcript Link")</f>
        <v>Transcript Link</v>
      </c>
      <c r="M846" s="2" t="str">
        <f>HYPERLINK("https://files.afu.se/Downloads/Transcripts/0%20-%20Government/USA%20-%20NASA%20Kennedy/2015 12 03 - NASA's Kennedy Space Center - Orbital ATK CRS-4 Atlas V Rolls to Launch Pad_6yfRzMk6jd8 - transcript (automated).pdf","Transcript Link")</f>
        <v>Transcript Link</v>
      </c>
    </row>
    <row r="847" ht="180" spans="1:13">
      <c r="A847" s="1" t="s">
        <v>3937</v>
      </c>
      <c r="B847" s="1" t="s">
        <v>13</v>
      </c>
      <c r="C847" s="4" t="s">
        <v>3938</v>
      </c>
      <c r="D847" s="1" t="s">
        <v>3939</v>
      </c>
      <c r="E847" s="1" t="s">
        <v>3940</v>
      </c>
      <c r="F847" s="4" t="s">
        <v>17</v>
      </c>
      <c r="G847" s="1" t="s">
        <v>18</v>
      </c>
      <c r="H847" s="1" t="s">
        <v>19</v>
      </c>
      <c r="I847" s="1" t="s">
        <v>20</v>
      </c>
      <c r="J847" s="1" t="s">
        <v>3941</v>
      </c>
      <c r="K847" s="1" t="s">
        <v>22</v>
      </c>
      <c r="L847" s="1" t="str">
        <f>HYPERLINK("https://files.afu.se/Downloads/Transcripts/0%20-%20Government/USA%20-%20NASA%20Kennedy/2015 12 02 - NASA's Kennedy Space Center - Cygnus Poised for Scientific Supply Run_M90MB93o_xQ - transcript (automated).pdf","Transcript Link")</f>
        <v>Transcript Link</v>
      </c>
      <c r="M847" s="2" t="str">
        <f>HYPERLINK("https://files.afu.se/Downloads/Transcripts/0%20-%20Government/USA%20-%20NASA%20Kennedy/2015 12 02 - NASA's Kennedy Space Center - Cygnus Poised for Scientific Supply Run_M90MB93o_xQ - transcript (automated).pdf","Transcript Link")</f>
        <v>Transcript Link</v>
      </c>
    </row>
    <row r="848" ht="180" spans="1:13">
      <c r="A848" s="1" t="s">
        <v>3937</v>
      </c>
      <c r="B848" s="1" t="s">
        <v>13</v>
      </c>
      <c r="C848" s="4" t="s">
        <v>3942</v>
      </c>
      <c r="D848" s="1" t="s">
        <v>3943</v>
      </c>
      <c r="E848" s="1" t="s">
        <v>3944</v>
      </c>
      <c r="F848" s="4" t="s">
        <v>17</v>
      </c>
      <c r="G848" s="1" t="s">
        <v>18</v>
      </c>
      <c r="H848" s="1" t="s">
        <v>19</v>
      </c>
      <c r="I848" s="1" t="s">
        <v>20</v>
      </c>
      <c r="J848" s="1" t="s">
        <v>3945</v>
      </c>
      <c r="K848" s="1" t="s">
        <v>22</v>
      </c>
      <c r="L848" s="1" t="str">
        <f>HYPERLINK("https://files.afu.se/Downloads/Transcripts/0%20-%20Government/USA%20-%20NASA%20Kennedy/2015 12 02 - NASA's Kennedy Space Center - Orbital ATK CRS-4 Ready for Launch to International Space Station_I_aNwjprFPY - transcript (automated).pdf","Transcript Link")</f>
        <v>Transcript Link</v>
      </c>
      <c r="M848" s="2" t="str">
        <f>HYPERLINK("https://files.afu.se/Downloads/Transcripts/0%20-%20Government/USA%20-%20NASA%20Kennedy/2015 12 02 - NASA's Kennedy Space Center - Orbital ATK CRS-4 Ready for Launch to International Space Station_I_aNwjprFPY - transcript (automated).pdf","Transcript Link")</f>
        <v>Transcript Link</v>
      </c>
    </row>
    <row r="849" ht="180" spans="1:13">
      <c r="A849" s="1" t="s">
        <v>3946</v>
      </c>
      <c r="B849" s="1" t="s">
        <v>13</v>
      </c>
      <c r="C849" s="4" t="s">
        <v>3947</v>
      </c>
      <c r="D849" s="1" t="s">
        <v>3948</v>
      </c>
      <c r="E849" s="1" t="s">
        <v>3949</v>
      </c>
      <c r="F849" s="4" t="s">
        <v>17</v>
      </c>
      <c r="G849" s="1" t="s">
        <v>18</v>
      </c>
      <c r="H849" s="1" t="s">
        <v>19</v>
      </c>
      <c r="I849" s="1" t="s">
        <v>20</v>
      </c>
      <c r="J849" s="1" t="s">
        <v>3950</v>
      </c>
      <c r="K849" s="1" t="s">
        <v>22</v>
      </c>
      <c r="L849" s="1" t="str">
        <f>HYPERLINK("https://files.afu.se/Downloads/Transcripts/0%20-%20Government/USA%20-%20NASA%20Kennedy/2015 11 30 - NASA's Kennedy Space Center - Work Platform H Arrives at Kennedy Space Center in Florida_nKB09Bi6BUY - transcript (automated).pdf","Transcript Link")</f>
        <v>Transcript Link</v>
      </c>
      <c r="M849" s="2" t="str">
        <f>HYPERLINK("https://files.afu.se/Downloads/Transcripts/0%20-%20Government/USA%20-%20NASA%20Kennedy/2015 11 30 - NASA's Kennedy Space Center - Work Platform H Arrives at Kennedy Space Center in Florida_nKB09Bi6BUY - transcript (automated).pdf","Transcript Link")</f>
        <v>Transcript Link</v>
      </c>
    </row>
    <row r="850" ht="180" spans="1:13">
      <c r="A850" s="1" t="s">
        <v>3951</v>
      </c>
      <c r="B850" s="1" t="s">
        <v>13</v>
      </c>
      <c r="C850" s="4" t="s">
        <v>3952</v>
      </c>
      <c r="D850" s="1" t="s">
        <v>3953</v>
      </c>
      <c r="E850" s="1" t="s">
        <v>3954</v>
      </c>
      <c r="F850" s="4" t="s">
        <v>17</v>
      </c>
      <c r="G850" s="1" t="s">
        <v>18</v>
      </c>
      <c r="H850" s="1" t="s">
        <v>19</v>
      </c>
      <c r="I850" s="1" t="s">
        <v>20</v>
      </c>
      <c r="J850" s="1" t="s">
        <v>3955</v>
      </c>
      <c r="K850" s="1" t="s">
        <v>22</v>
      </c>
      <c r="L850" s="1" t="str">
        <f>HYPERLINK("https://files.afu.se/Downloads/Transcripts/0%20-%20Government/USA%20-%20NASA%20Kennedy/2015 11 24 - NASA's Kennedy Space Center - Time-Lapse  Laying a Solid Foundation for Kennedy’s Future_Z1VuefaRrdc - transcript (automated).pdf","Transcript Link")</f>
        <v>Transcript Link</v>
      </c>
      <c r="M850" s="2" t="str">
        <f>HYPERLINK("https://files.afu.se/Downloads/Transcripts/0%20-%20Government/USA%20-%20NASA%20Kennedy/2015 11 24 - NASA's Kennedy Space Center - Time-Lapse  Laying a Solid Foundation for Kennedy’s Future_Z1VuefaRrdc - transcript (automated).pdf","Transcript Link")</f>
        <v>Transcript Link</v>
      </c>
    </row>
    <row r="851" ht="180" spans="1:13">
      <c r="A851" s="1" t="s">
        <v>3956</v>
      </c>
      <c r="B851" s="1" t="s">
        <v>13</v>
      </c>
      <c r="C851" s="4" t="s">
        <v>3957</v>
      </c>
      <c r="D851" s="1" t="s">
        <v>3958</v>
      </c>
      <c r="E851" s="1" t="s">
        <v>3959</v>
      </c>
      <c r="F851" s="4" t="s">
        <v>17</v>
      </c>
      <c r="G851" s="1" t="s">
        <v>18</v>
      </c>
      <c r="H851" s="1" t="s">
        <v>19</v>
      </c>
      <c r="I851" s="1" t="s">
        <v>20</v>
      </c>
      <c r="J851" s="1" t="s">
        <v>3960</v>
      </c>
      <c r="K851" s="1" t="s">
        <v>22</v>
      </c>
      <c r="L851" s="1" t="str">
        <f>HYPERLINK("https://files.afu.se/Downloads/Transcripts/0%20-%20Government/USA%20-%20NASA%20Kennedy/2015 11 20 - NASA's Kennedy Space Center - Inside KSC! Nov. 20, 2015_jSzjEKQhf14 - transcript (automated).pdf","Transcript Link")</f>
        <v>Transcript Link</v>
      </c>
      <c r="M851" s="2" t="str">
        <f>HYPERLINK("https://files.afu.se/Downloads/Transcripts/0%20-%20Government/USA%20-%20NASA%20Kennedy/2015 11 20 - NASA's Kennedy Space Center - Inside KSC! Nov. 20, 2015_jSzjEKQhf14 - transcript (automated).pdf","Transcript Link")</f>
        <v>Transcript Link</v>
      </c>
    </row>
    <row r="852" ht="180" spans="1:13">
      <c r="A852" s="1" t="s">
        <v>3961</v>
      </c>
      <c r="B852" s="1" t="s">
        <v>13</v>
      </c>
      <c r="C852" s="4" t="s">
        <v>3962</v>
      </c>
      <c r="D852" s="1" t="s">
        <v>3963</v>
      </c>
      <c r="E852" s="1" t="s">
        <v>3964</v>
      </c>
      <c r="F852" s="4" t="s">
        <v>17</v>
      </c>
      <c r="G852" s="1" t="s">
        <v>18</v>
      </c>
      <c r="H852" s="1" t="s">
        <v>19</v>
      </c>
      <c r="I852" s="1" t="s">
        <v>20</v>
      </c>
      <c r="J852" s="1" t="s">
        <v>3965</v>
      </c>
      <c r="K852" s="1" t="s">
        <v>22</v>
      </c>
      <c r="L852" s="1" t="str">
        <f>HYPERLINK("https://files.afu.se/Downloads/Transcripts/0%20-%20Government/USA%20-%20NASA%20Kennedy/2015 11 19 - NASA's Kennedy Space Center - Kennedy Leaders Celebrate 15 Years of Ongoing Space Station Work_ztEhWeuL_S4 - transcript (automated).pdf","Transcript Link")</f>
        <v>Transcript Link</v>
      </c>
      <c r="M852" s="2" t="str">
        <f>HYPERLINK("https://files.afu.se/Downloads/Transcripts/0%20-%20Government/USA%20-%20NASA%20Kennedy/2015 11 19 - NASA's Kennedy Space Center - Kennedy Leaders Celebrate 15 Years of Ongoing Space Station Work_ztEhWeuL_S4 - transcript (automated).pdf","Transcript Link")</f>
        <v>Transcript Link</v>
      </c>
    </row>
    <row r="853" ht="180" spans="1:13">
      <c r="A853" s="1" t="s">
        <v>3966</v>
      </c>
      <c r="B853" s="1" t="s">
        <v>13</v>
      </c>
      <c r="C853" s="4" t="s">
        <v>3967</v>
      </c>
      <c r="D853" s="1" t="s">
        <v>3968</v>
      </c>
      <c r="E853" s="1" t="s">
        <v>3969</v>
      </c>
      <c r="F853" s="4" t="s">
        <v>17</v>
      </c>
      <c r="G853" s="1" t="s">
        <v>18</v>
      </c>
      <c r="H853" s="1" t="s">
        <v>19</v>
      </c>
      <c r="I853" s="1" t="s">
        <v>20</v>
      </c>
      <c r="J853" s="1" t="s">
        <v>3970</v>
      </c>
      <c r="K853" s="1" t="s">
        <v>22</v>
      </c>
      <c r="L853" s="1" t="str">
        <f>HYPERLINK("https://files.afu.se/Downloads/Transcripts/0%20-%20Government/USA%20-%20NASA%20Kennedy/2015 11 18 - NASA's Kennedy Space Center - Innovation Expo 2015 Interviews_F-FwXtxV3f8 - transcript (automated).pdf","Transcript Link")</f>
        <v>Transcript Link</v>
      </c>
      <c r="M853" s="2" t="str">
        <f>HYPERLINK("https://files.afu.se/Downloads/Transcripts/0%20-%20Government/USA%20-%20NASA%20Kennedy/2015 11 18 - NASA's Kennedy Space Center - Innovation Expo 2015 Interviews_F-FwXtxV3f8 - transcript (automated).pdf","Transcript Link")</f>
        <v>Transcript Link</v>
      </c>
    </row>
    <row r="854" ht="180" spans="1:13">
      <c r="A854" s="1" t="s">
        <v>3971</v>
      </c>
      <c r="B854" s="1" t="s">
        <v>13</v>
      </c>
      <c r="C854" s="4" t="s">
        <v>3972</v>
      </c>
      <c r="D854" s="1" t="s">
        <v>3973</v>
      </c>
      <c r="E854" s="1" t="s">
        <v>3974</v>
      </c>
      <c r="F854" s="4" t="s">
        <v>17</v>
      </c>
      <c r="G854" s="1" t="s">
        <v>18</v>
      </c>
      <c r="H854" s="1" t="s">
        <v>19</v>
      </c>
      <c r="I854" s="1" t="s">
        <v>20</v>
      </c>
      <c r="J854" s="1" t="s">
        <v>3975</v>
      </c>
      <c r="K854" s="1" t="s">
        <v>22</v>
      </c>
      <c r="L854" s="1" t="str">
        <f>HYPERLINK("https://files.afu.se/Downloads/Transcripts/0%20-%20Government/USA%20-%20NASA%20Kennedy/2015 11 17 - NASA's Kennedy Space Center - KSCares  Energy Efficient Light Bulbs_NMD5pUy9dhc - transcript (automated).pdf","Transcript Link")</f>
        <v>Transcript Link</v>
      </c>
      <c r="M854" s="2" t="str">
        <f>HYPERLINK("https://files.afu.se/Downloads/Transcripts/0%20-%20Government/USA%20-%20NASA%20Kennedy/2015 11 17 - NASA's Kennedy Space Center - KSCares  Energy Efficient Light Bulbs_NMD5pUy9dhc - transcript (automated).pdf","Transcript Link")</f>
        <v>Transcript Link</v>
      </c>
    </row>
    <row r="855" ht="180" spans="1:13">
      <c r="A855" s="1" t="s">
        <v>3976</v>
      </c>
      <c r="B855" s="1" t="s">
        <v>13</v>
      </c>
      <c r="C855" s="4" t="s">
        <v>3977</v>
      </c>
      <c r="D855" s="1" t="s">
        <v>3978</v>
      </c>
      <c r="E855" s="1" t="s">
        <v>3979</v>
      </c>
      <c r="F855" s="4" t="s">
        <v>17</v>
      </c>
      <c r="G855" s="1" t="s">
        <v>18</v>
      </c>
      <c r="H855" s="1" t="s">
        <v>19</v>
      </c>
      <c r="I855" s="1" t="s">
        <v>20</v>
      </c>
      <c r="J855" s="1" t="s">
        <v>3980</v>
      </c>
      <c r="K855" s="1" t="s">
        <v>22</v>
      </c>
      <c r="L855" s="1" t="str">
        <f>HYPERLINK("https://files.afu.se/Downloads/Transcripts/0%20-%20Government/USA%20-%20NASA%20Kennedy/2015 11 13 - NASA's Kennedy Space Center - Inside KSC! Nov. 13, 2015_4beUYDuJAis - transcript (automated).pdf","Transcript Link")</f>
        <v>Transcript Link</v>
      </c>
      <c r="M855" s="2" t="str">
        <f>HYPERLINK("https://files.afu.se/Downloads/Transcripts/0%20-%20Government/USA%20-%20NASA%20Kennedy/2015 11 13 - NASA's Kennedy Space Center - Inside KSC! Nov. 13, 2015_4beUYDuJAis - transcript (automated).pdf","Transcript Link")</f>
        <v>Transcript Link</v>
      </c>
    </row>
    <row r="856" ht="180" spans="1:13">
      <c r="A856" s="1" t="s">
        <v>3981</v>
      </c>
      <c r="B856" s="1" t="s">
        <v>13</v>
      </c>
      <c r="C856" s="4" t="s">
        <v>3982</v>
      </c>
      <c r="D856" s="1" t="s">
        <v>3983</v>
      </c>
      <c r="E856" s="1" t="s">
        <v>3984</v>
      </c>
      <c r="F856" s="4" t="s">
        <v>17</v>
      </c>
      <c r="G856" s="1" t="s">
        <v>18</v>
      </c>
      <c r="H856" s="1" t="s">
        <v>19</v>
      </c>
      <c r="I856" s="1" t="s">
        <v>20</v>
      </c>
      <c r="J856" s="1" t="s">
        <v>3985</v>
      </c>
      <c r="K856" s="1" t="s">
        <v>22</v>
      </c>
      <c r="L856" s="1" t="str">
        <f>HYPERLINK("https://files.afu.se/Downloads/Transcripts/0%20-%20Government/USA%20-%20NASA%20Kennedy/2015 11 06 - NASA's Kennedy Space Center - Inside KSC! Nov. 6, 2015 Featuring Suni Williams_IU_sIP9blxM - transcript (automated).pdf","Transcript Link")</f>
        <v>Transcript Link</v>
      </c>
      <c r="M856" s="2" t="str">
        <f>HYPERLINK("https://files.afu.se/Downloads/Transcripts/0%20-%20Government/USA%20-%20NASA%20Kennedy/2015 11 06 - NASA's Kennedy Space Center - Inside KSC! Nov. 6, 2015 Featuring Suni Williams_IU_sIP9blxM - transcript (automated).pdf","Transcript Link")</f>
        <v>Transcript Link</v>
      </c>
    </row>
    <row r="857" ht="180" spans="1:13">
      <c r="A857" s="1" t="s">
        <v>3981</v>
      </c>
      <c r="B857" s="1" t="s">
        <v>13</v>
      </c>
      <c r="C857" s="4" t="s">
        <v>3986</v>
      </c>
      <c r="D857" s="1" t="s">
        <v>3987</v>
      </c>
      <c r="E857" s="1" t="s">
        <v>3988</v>
      </c>
      <c r="F857" s="4" t="s">
        <v>17</v>
      </c>
      <c r="G857" s="1" t="s">
        <v>18</v>
      </c>
      <c r="H857" s="1" t="s">
        <v>19</v>
      </c>
      <c r="I857" s="1" t="s">
        <v>20</v>
      </c>
      <c r="J857" s="1" t="s">
        <v>3989</v>
      </c>
      <c r="K857" s="1" t="s">
        <v>22</v>
      </c>
      <c r="L857" s="1" t="str">
        <f>HYPERLINK("https://files.afu.se/Downloads/Transcripts/0%20-%20Government/USA%20-%20NASA%20Kennedy/2015 11 06 - NASA's Kennedy Space Center - 2015 Innovation Expo Focused on Kennedy's Creative Workforce_uD4xh7FE7Hw - transcript (automated).pdf","Transcript Link")</f>
        <v>Transcript Link</v>
      </c>
      <c r="M857" s="2" t="str">
        <f>HYPERLINK("https://files.afu.se/Downloads/Transcripts/0%20-%20Government/USA%20-%20NASA%20Kennedy/2015 11 06 - NASA's Kennedy Space Center - 2015 Innovation Expo Focused on Kennedy's Creative Workforce_uD4xh7FE7Hw - transcript (automated).pdf","Transcript Link")</f>
        <v>Transcript Link</v>
      </c>
    </row>
    <row r="858" ht="180" spans="1:13">
      <c r="A858" s="1" t="s">
        <v>3990</v>
      </c>
      <c r="B858" s="1" t="s">
        <v>13</v>
      </c>
      <c r="C858" s="4" t="s">
        <v>3991</v>
      </c>
      <c r="D858" s="1" t="s">
        <v>3992</v>
      </c>
      <c r="E858" s="1" t="s">
        <v>3993</v>
      </c>
      <c r="F858" s="4" t="s">
        <v>17</v>
      </c>
      <c r="G858" s="1" t="s">
        <v>18</v>
      </c>
      <c r="H858" s="1" t="s">
        <v>19</v>
      </c>
      <c r="I858" s="1" t="s">
        <v>20</v>
      </c>
      <c r="J858" s="1" t="s">
        <v>3994</v>
      </c>
      <c r="K858" s="1" t="s">
        <v>22</v>
      </c>
      <c r="L858" s="1" t="str">
        <f>HYPERLINK("https://files.afu.se/Downloads/Transcripts/0%20-%20Government/USA%20-%20NASA%20Kennedy/2015 11 05 - NASA's Kennedy Space Center - KSCares  Clothes Can Be Recycled_eAVWgLEjNE0 - transcript (automated).pdf","Transcript Link")</f>
        <v>Transcript Link</v>
      </c>
      <c r="M858" s="2" t="str">
        <f>HYPERLINK("https://files.afu.se/Downloads/Transcripts/0%20-%20Government/USA%20-%20NASA%20Kennedy/2015 11 05 - NASA's Kennedy Space Center - KSCares  Clothes Can Be Recycled_eAVWgLEjNE0 - transcript (automated).pdf","Transcript Link")</f>
        <v>Transcript Link</v>
      </c>
    </row>
    <row r="859" ht="180" spans="1:13">
      <c r="A859" s="1" t="s">
        <v>3995</v>
      </c>
      <c r="B859" s="1" t="s">
        <v>13</v>
      </c>
      <c r="C859" s="4" t="s">
        <v>3996</v>
      </c>
      <c r="D859" s="1" t="s">
        <v>3997</v>
      </c>
      <c r="E859" s="1" t="s">
        <v>3998</v>
      </c>
      <c r="F859" s="4" t="s">
        <v>17</v>
      </c>
      <c r="G859" s="1" t="s">
        <v>18</v>
      </c>
      <c r="H859" s="1" t="s">
        <v>19</v>
      </c>
      <c r="I859" s="1" t="s">
        <v>20</v>
      </c>
      <c r="J859" s="1" t="s">
        <v>3999</v>
      </c>
      <c r="K859" s="1" t="s">
        <v>22</v>
      </c>
      <c r="L859" s="1" t="str">
        <f>HYPERLINK("https://files.afu.se/Downloads/Transcripts/0%20-%20Government/USA%20-%20NASA%20Kennedy/2015 11 04 - NASA's Kennedy Space Center - KSCares  Choose the Recycling Bin_6ckmQufauDo - transcript (automated).pdf","Transcript Link")</f>
        <v>Transcript Link</v>
      </c>
      <c r="M859" s="2" t="str">
        <f>HYPERLINK("https://files.afu.se/Downloads/Transcripts/0%20-%20Government/USA%20-%20NASA%20Kennedy/2015 11 04 - NASA's Kennedy Space Center - KSCares  Choose the Recycling Bin_6ckmQufauDo - transcript (automated).pdf","Transcript Link")</f>
        <v>Transcript Link</v>
      </c>
    </row>
    <row r="860" ht="180" spans="1:13">
      <c r="A860" s="1" t="s">
        <v>4000</v>
      </c>
      <c r="B860" s="1" t="s">
        <v>13</v>
      </c>
      <c r="C860" s="4" t="s">
        <v>4001</v>
      </c>
      <c r="D860" s="1" t="s">
        <v>3997</v>
      </c>
      <c r="E860" s="1" t="s">
        <v>4002</v>
      </c>
      <c r="F860" s="4" t="s">
        <v>17</v>
      </c>
      <c r="G860" s="1" t="s">
        <v>18</v>
      </c>
      <c r="H860" s="1" t="s">
        <v>19</v>
      </c>
      <c r="I860" s="1" t="s">
        <v>20</v>
      </c>
      <c r="J860" s="1" t="s">
        <v>4003</v>
      </c>
      <c r="K860" s="1" t="s">
        <v>22</v>
      </c>
      <c r="L860" s="1" t="str">
        <f>HYPERLINK("https://files.afu.se/Downloads/Transcripts/0%20-%20Government/USA%20-%20NASA%20Kennedy/2015 11 03 - NASA's Kennedy Space Center - KSCares  Choose the Recycling Bin_WZLmrd2Cvtg - transcript (automated).pdf","Transcript Link")</f>
        <v>Transcript Link</v>
      </c>
      <c r="M860" s="2" t="str">
        <f>HYPERLINK("https://files.afu.se/Downloads/Transcripts/0%20-%20Government/USA%20-%20NASA%20Kennedy/2015 11 03 - NASA's Kennedy Space Center - KSCares  Choose the Recycling Bin_WZLmrd2Cvtg - transcript (automated).pdf","Transcript Link")</f>
        <v>Transcript Link</v>
      </c>
    </row>
    <row r="861" ht="180" spans="1:13">
      <c r="A861" s="1" t="s">
        <v>4000</v>
      </c>
      <c r="B861" s="1" t="s">
        <v>13</v>
      </c>
      <c r="C861" s="4" t="s">
        <v>4004</v>
      </c>
      <c r="D861" s="1" t="s">
        <v>4005</v>
      </c>
      <c r="E861" s="1" t="s">
        <v>4006</v>
      </c>
      <c r="F861" s="4" t="s">
        <v>17</v>
      </c>
      <c r="G861" s="1" t="s">
        <v>18</v>
      </c>
      <c r="H861" s="1" t="s">
        <v>19</v>
      </c>
      <c r="I861" s="1" t="s">
        <v>20</v>
      </c>
      <c r="J861" s="1" t="s">
        <v>4007</v>
      </c>
      <c r="K861" s="1" t="s">
        <v>22</v>
      </c>
      <c r="L861" s="1" t="str">
        <f>HYPERLINK("https://files.afu.se/Downloads/Transcripts/0%20-%20Government/USA%20-%20NASA%20Kennedy/2015 11 03 - NASA's Kennedy Space Center - Crew Access Tower's Main Column Rises_hr1XTLC9uqw - transcript (automated).pdf","Transcript Link")</f>
        <v>Transcript Link</v>
      </c>
      <c r="M861" s="2" t="str">
        <f>HYPERLINK("https://files.afu.se/Downloads/Transcripts/0%20-%20Government/USA%20-%20NASA%20Kennedy/2015 11 03 - NASA's Kennedy Space Center - Crew Access Tower's Main Column Rises_hr1XTLC9uqw - transcript (automated).pdf","Transcript Link")</f>
        <v>Transcript Link</v>
      </c>
    </row>
    <row r="862" ht="180" spans="1:13">
      <c r="A862" s="1" t="s">
        <v>4008</v>
      </c>
      <c r="B862" s="1" t="s">
        <v>13</v>
      </c>
      <c r="C862" s="4" t="s">
        <v>4009</v>
      </c>
      <c r="D862" s="1" t="s">
        <v>4010</v>
      </c>
      <c r="E862" s="1" t="s">
        <v>4011</v>
      </c>
      <c r="F862" s="4" t="s">
        <v>17</v>
      </c>
      <c r="G862" s="1" t="s">
        <v>18</v>
      </c>
      <c r="H862" s="1" t="s">
        <v>19</v>
      </c>
      <c r="I862" s="1" t="s">
        <v>20</v>
      </c>
      <c r="J862" s="1" t="s">
        <v>4012</v>
      </c>
      <c r="K862" s="1" t="s">
        <v>22</v>
      </c>
      <c r="L862" s="1" t="str">
        <f>HYPERLINK("https://files.afu.se/Downloads/Transcripts/0%20-%20Government/USA%20-%20NASA%20Kennedy/2015 10 29 - NASA's Kennedy Space Center - Inside KSC! Oct. 30, 2015_K5sSK4MK6lQ - transcript (automated).pdf","Transcript Link")</f>
        <v>Transcript Link</v>
      </c>
      <c r="M862" s="2" t="str">
        <f>HYPERLINK("https://files.afu.se/Downloads/Transcripts/0%20-%20Government/USA%20-%20NASA%20Kennedy/2015 10 29 - NASA's Kennedy Space Center - Inside KSC! Oct. 30, 2015_K5sSK4MK6lQ - transcript (automated).pdf","Transcript Link")</f>
        <v>Transcript Link</v>
      </c>
    </row>
    <row r="863" ht="180" spans="1:13">
      <c r="A863" s="1" t="s">
        <v>4013</v>
      </c>
      <c r="B863" s="1" t="s">
        <v>13</v>
      </c>
      <c r="C863" s="4" t="s">
        <v>4014</v>
      </c>
      <c r="D863" s="1" t="s">
        <v>4015</v>
      </c>
      <c r="E863" s="1" t="s">
        <v>4016</v>
      </c>
      <c r="F863" s="4" t="s">
        <v>17</v>
      </c>
      <c r="G863" s="1" t="s">
        <v>18</v>
      </c>
      <c r="H863" s="1" t="s">
        <v>19</v>
      </c>
      <c r="I863" s="1" t="s">
        <v>20</v>
      </c>
      <c r="J863" s="1" t="s">
        <v>4017</v>
      </c>
      <c r="K863" s="1" t="s">
        <v>22</v>
      </c>
      <c r="L863" s="1" t="str">
        <f>HYPERLINK("https://files.afu.se/Downloads/Transcripts/0%20-%20Government/USA%20-%20NASA%20Kennedy/2015 10 23 - NASA's Kennedy Space Center - NASA Tests Crew Recovery for Orion_ZbApD6niDiA - transcript (automated).pdf","Transcript Link")</f>
        <v>Transcript Link</v>
      </c>
      <c r="M863" s="2" t="str">
        <f>HYPERLINK("https://files.afu.se/Downloads/Transcripts/0%20-%20Government/USA%20-%20NASA%20Kennedy/2015 10 23 - NASA's Kennedy Space Center - NASA Tests Crew Recovery for Orion_ZbApD6niDiA - transcript (automated).pdf","Transcript Link")</f>
        <v>Transcript Link</v>
      </c>
    </row>
    <row r="864" ht="180" spans="1:13">
      <c r="A864" s="1" t="s">
        <v>4018</v>
      </c>
      <c r="B864" s="1" t="s">
        <v>13</v>
      </c>
      <c r="C864" s="4" t="s">
        <v>4019</v>
      </c>
      <c r="D864" s="1" t="s">
        <v>4020</v>
      </c>
      <c r="E864" s="1" t="s">
        <v>4021</v>
      </c>
      <c r="F864" s="4" t="s">
        <v>17</v>
      </c>
      <c r="G864" s="1" t="s">
        <v>18</v>
      </c>
      <c r="H864" s="1" t="s">
        <v>19</v>
      </c>
      <c r="I864" s="1" t="s">
        <v>20</v>
      </c>
      <c r="J864" s="1" t="s">
        <v>4022</v>
      </c>
      <c r="K864" s="1" t="s">
        <v>22</v>
      </c>
      <c r="L864" s="1" t="str">
        <f>HYPERLINK("https://files.afu.se/Downloads/Transcripts/0%20-%20Government/USA%20-%20NASA%20Kennedy/2015 10 22 - NASA's Kennedy Space Center - Inside KSC! Oct. 23, 2015_Ia47odj1BlQ - transcript (automated).pdf","Transcript Link")</f>
        <v>Transcript Link</v>
      </c>
      <c r="M864" s="2" t="str">
        <f>HYPERLINK("https://files.afu.se/Downloads/Transcripts/0%20-%20Government/USA%20-%20NASA%20Kennedy/2015 10 22 - NASA's Kennedy Space Center - Inside KSC! Oct. 23, 2015_Ia47odj1BlQ - transcript (automated).pdf","Transcript Link")</f>
        <v>Transcript Link</v>
      </c>
    </row>
    <row r="865" ht="180" spans="1:13">
      <c r="A865" s="1" t="s">
        <v>4023</v>
      </c>
      <c r="B865" s="1" t="s">
        <v>13</v>
      </c>
      <c r="C865" s="4" t="s">
        <v>4024</v>
      </c>
      <c r="D865" s="1" t="s">
        <v>4025</v>
      </c>
      <c r="E865" s="1" t="s">
        <v>4026</v>
      </c>
      <c r="F865" s="4" t="s">
        <v>17</v>
      </c>
      <c r="G865" s="1" t="s">
        <v>18</v>
      </c>
      <c r="H865" s="1" t="s">
        <v>19</v>
      </c>
      <c r="I865" s="1" t="s">
        <v>20</v>
      </c>
      <c r="J865" s="1" t="s">
        <v>4027</v>
      </c>
      <c r="K865" s="1" t="s">
        <v>22</v>
      </c>
      <c r="L865" s="1" t="str">
        <f>HYPERLINK("https://files.afu.se/Downloads/Transcripts/0%20-%20Government/USA%20-%20NASA%20Kennedy/2015 10 15 - NASA's Kennedy Space Center - Inside KSC! Oct. 16, 2015_VPEWKBo_wco - transcript (automated).pdf","Transcript Link")</f>
        <v>Transcript Link</v>
      </c>
      <c r="M865" s="2" t="str">
        <f>HYPERLINK("https://files.afu.se/Downloads/Transcripts/0%20-%20Government/USA%20-%20NASA%20Kennedy/2015 10 15 - NASA's Kennedy Space Center - Inside KSC! Oct. 16, 2015_VPEWKBo_wco - transcript (automated).pdf","Transcript Link")</f>
        <v>Transcript Link</v>
      </c>
    </row>
    <row r="866" ht="180" spans="1:13">
      <c r="A866" s="1" t="s">
        <v>4028</v>
      </c>
      <c r="B866" s="1" t="s">
        <v>13</v>
      </c>
      <c r="C866" s="4" t="s">
        <v>4029</v>
      </c>
      <c r="D866" s="1" t="s">
        <v>4030</v>
      </c>
      <c r="E866" s="1" t="s">
        <v>4031</v>
      </c>
      <c r="F866" s="4" t="s">
        <v>17</v>
      </c>
      <c r="G866" s="1" t="s">
        <v>18</v>
      </c>
      <c r="H866" s="1" t="s">
        <v>19</v>
      </c>
      <c r="I866" s="1" t="s">
        <v>20</v>
      </c>
      <c r="J866" s="1" t="s">
        <v>4032</v>
      </c>
      <c r="K866" s="1" t="s">
        <v>22</v>
      </c>
      <c r="L866" s="1" t="str">
        <f>HYPERLINK("https://files.afu.se/Downloads/Transcripts/0%20-%20Government/USA%20-%20NASA%20Kennedy/2015 10 14 - NASA's Kennedy Space Center - Virgin Galactic Selected for Venture Class Launches_E1z_W8de_s8 - transcript (automated).pdf","Transcript Link")</f>
        <v>Transcript Link</v>
      </c>
      <c r="M866" s="2" t="str">
        <f>HYPERLINK("https://files.afu.se/Downloads/Transcripts/0%20-%20Government/USA%20-%20NASA%20Kennedy/2015 10 14 - NASA's Kennedy Space Center - Virgin Galactic Selected for Venture Class Launches_E1z_W8de_s8 - transcript (automated).pdf","Transcript Link")</f>
        <v>Transcript Link</v>
      </c>
    </row>
    <row r="867" ht="180" spans="1:13">
      <c r="A867" s="1" t="s">
        <v>4028</v>
      </c>
      <c r="B867" s="1" t="s">
        <v>13</v>
      </c>
      <c r="C867" s="4" t="s">
        <v>4033</v>
      </c>
      <c r="D867" s="1" t="s">
        <v>4034</v>
      </c>
      <c r="E867" s="1" t="s">
        <v>4035</v>
      </c>
      <c r="F867" s="4" t="s">
        <v>17</v>
      </c>
      <c r="G867" s="1" t="s">
        <v>18</v>
      </c>
      <c r="H867" s="1" t="s">
        <v>19</v>
      </c>
      <c r="I867" s="1" t="s">
        <v>20</v>
      </c>
      <c r="J867" s="1" t="s">
        <v>4036</v>
      </c>
      <c r="K867" s="1" t="s">
        <v>22</v>
      </c>
      <c r="L867" s="1" t="str">
        <f>HYPERLINK("https://files.afu.se/Downloads/Transcripts/0%20-%20Government/USA%20-%20NASA%20Kennedy/2015 10 14 - NASA's Kennedy Space Center - Rocket Lab USA Selected for Venture Class Launches_yEOCq6KcwXo - transcript (automated).pdf","Transcript Link")</f>
        <v>Transcript Link</v>
      </c>
      <c r="M867" s="2" t="str">
        <f>HYPERLINK("https://files.afu.se/Downloads/Transcripts/0%20-%20Government/USA%20-%20NASA%20Kennedy/2015 10 14 - NASA's Kennedy Space Center - Rocket Lab USA Selected for Venture Class Launches_yEOCq6KcwXo - transcript (automated).pdf","Transcript Link")</f>
        <v>Transcript Link</v>
      </c>
    </row>
    <row r="868" ht="180" spans="1:13">
      <c r="A868" s="1" t="s">
        <v>4028</v>
      </c>
      <c r="B868" s="1" t="s">
        <v>13</v>
      </c>
      <c r="C868" s="4" t="s">
        <v>4037</v>
      </c>
      <c r="D868" s="1" t="s">
        <v>4038</v>
      </c>
      <c r="E868" s="1" t="s">
        <v>4039</v>
      </c>
      <c r="F868" s="4" t="s">
        <v>17</v>
      </c>
      <c r="G868" s="1" t="s">
        <v>18</v>
      </c>
      <c r="H868" s="1" t="s">
        <v>19</v>
      </c>
      <c r="I868" s="1" t="s">
        <v>20</v>
      </c>
      <c r="J868" s="1" t="s">
        <v>4040</v>
      </c>
      <c r="K868" s="1" t="s">
        <v>22</v>
      </c>
      <c r="L868" s="1" t="str">
        <f>HYPERLINK("https://files.afu.se/Downloads/Transcripts/0%20-%20Government/USA%20-%20NASA%20Kennedy/2015 10 14 - NASA's Kennedy Space Center - Firefly Space Systems Selected for Venture Class Launches_q422ZkLmcZo - transcript (automated).pdf","Transcript Link")</f>
        <v>Transcript Link</v>
      </c>
      <c r="M868" s="2" t="str">
        <f>HYPERLINK("https://files.afu.se/Downloads/Transcripts/0%20-%20Government/USA%20-%20NASA%20Kennedy/2015 10 14 - NASA's Kennedy Space Center - Firefly Space Systems Selected for Venture Class Launches_q422ZkLmcZo - transcript (automated).pdf","Transcript Link")</f>
        <v>Transcript Link</v>
      </c>
    </row>
    <row r="869" ht="180" spans="1:13">
      <c r="A869" s="1" t="s">
        <v>4028</v>
      </c>
      <c r="B869" s="1" t="s">
        <v>13</v>
      </c>
      <c r="C869" s="4" t="s">
        <v>4041</v>
      </c>
      <c r="D869" s="1" t="s">
        <v>4042</v>
      </c>
      <c r="E869" s="1" t="s">
        <v>4043</v>
      </c>
      <c r="F869" s="4" t="s">
        <v>17</v>
      </c>
      <c r="G869" s="1" t="s">
        <v>18</v>
      </c>
      <c r="H869" s="1" t="s">
        <v>19</v>
      </c>
      <c r="I869" s="1" t="s">
        <v>20</v>
      </c>
      <c r="J869" s="1" t="s">
        <v>4044</v>
      </c>
      <c r="K869" s="1" t="s">
        <v>22</v>
      </c>
      <c r="L869" s="1" t="str">
        <f>HYPERLINK("https://files.afu.se/Downloads/Transcripts/0%20-%20Government/USA%20-%20NASA%20Kennedy/2015 10 14 - NASA's Kennedy Space Center - Venture Class Launch Services  Three Companies to Launch CubeSats_ss0axWCy6vU - transcript (automated).pdf","Transcript Link")</f>
        <v>Transcript Link</v>
      </c>
      <c r="M869" s="2" t="str">
        <f>HYPERLINK("https://files.afu.se/Downloads/Transcripts/0%20-%20Government/USA%20-%20NASA%20Kennedy/2015 10 14 - NASA's Kennedy Space Center - Venture Class Launch Services  Three Companies to Launch CubeSats_ss0axWCy6vU - transcript (automated).pdf","Transcript Link")</f>
        <v>Transcript Link</v>
      </c>
    </row>
    <row r="870" ht="180" spans="1:13">
      <c r="A870" s="1" t="s">
        <v>4028</v>
      </c>
      <c r="B870" s="1" t="s">
        <v>13</v>
      </c>
      <c r="C870" s="4" t="s">
        <v>4045</v>
      </c>
      <c r="D870" s="1" t="s">
        <v>4046</v>
      </c>
      <c r="E870" s="1" t="s">
        <v>4047</v>
      </c>
      <c r="F870" s="4" t="s">
        <v>17</v>
      </c>
      <c r="G870" s="1" t="s">
        <v>18</v>
      </c>
      <c r="H870" s="1" t="s">
        <v>19</v>
      </c>
      <c r="I870" s="1" t="s">
        <v>20</v>
      </c>
      <c r="J870" s="1" t="s">
        <v>4048</v>
      </c>
      <c r="K870" s="1" t="s">
        <v>22</v>
      </c>
      <c r="L870" s="1" t="str">
        <f>HYPERLINK("https://files.afu.se/Downloads/Transcripts/0%20-%20Government/USA%20-%20NASA%20Kennedy/2015 10 14 - NASA's Kennedy Space Center - Innovation Expo Encourages New Technologies_n_kIH58cxv8 - transcript (automated).pdf","Transcript Link")</f>
        <v>Transcript Link</v>
      </c>
      <c r="M870" s="2" t="str">
        <f>HYPERLINK("https://files.afu.se/Downloads/Transcripts/0%20-%20Government/USA%20-%20NASA%20Kennedy/2015 10 14 - NASA's Kennedy Space Center - Innovation Expo Encourages New Technologies_n_kIH58cxv8 - transcript (automated).pdf","Transcript Link")</f>
        <v>Transcript Link</v>
      </c>
    </row>
    <row r="871" ht="180" spans="1:13">
      <c r="A871" s="1" t="s">
        <v>4049</v>
      </c>
      <c r="B871" s="1" t="s">
        <v>13</v>
      </c>
      <c r="C871" s="4" t="s">
        <v>4050</v>
      </c>
      <c r="D871" s="1" t="s">
        <v>4051</v>
      </c>
      <c r="E871" s="1" t="s">
        <v>4052</v>
      </c>
      <c r="F871" s="4" t="s">
        <v>17</v>
      </c>
      <c r="G871" s="1" t="s">
        <v>18</v>
      </c>
      <c r="H871" s="1" t="s">
        <v>19</v>
      </c>
      <c r="I871" s="1" t="s">
        <v>20</v>
      </c>
      <c r="J871" s="1" t="s">
        <v>4053</v>
      </c>
      <c r="K871" s="1" t="s">
        <v>22</v>
      </c>
      <c r="L871" s="1" t="str">
        <f>HYPERLINK("https://files.afu.se/Downloads/Transcripts/0%20-%20Government/USA%20-%20NASA%20Kennedy/2015 10 09 - NASA's Kennedy Space Center - Inside KSC! Oct. 9, 2015_FGVRNRZXzME - transcript (automated).pdf","Transcript Link")</f>
        <v>Transcript Link</v>
      </c>
      <c r="M871" s="2" t="str">
        <f>HYPERLINK("https://files.afu.se/Downloads/Transcripts/0%20-%20Government/USA%20-%20NASA%20Kennedy/2015 10 09 - NASA's Kennedy Space Center - Inside KSC! Oct. 9, 2015_FGVRNRZXzME - transcript (automated).pdf","Transcript Link")</f>
        <v>Transcript Link</v>
      </c>
    </row>
    <row r="872" ht="180" spans="1:13">
      <c r="A872" s="1" t="s">
        <v>4054</v>
      </c>
      <c r="B872" s="1" t="s">
        <v>13</v>
      </c>
      <c r="C872" s="4" t="s">
        <v>4055</v>
      </c>
      <c r="D872" s="1" t="s">
        <v>4056</v>
      </c>
      <c r="E872" s="1" t="s">
        <v>4057</v>
      </c>
      <c r="F872" s="4" t="s">
        <v>17</v>
      </c>
      <c r="G872" s="1" t="s">
        <v>18</v>
      </c>
      <c r="H872" s="1" t="s">
        <v>19</v>
      </c>
      <c r="I872" s="1" t="s">
        <v>20</v>
      </c>
      <c r="J872" s="1" t="s">
        <v>4058</v>
      </c>
      <c r="K872" s="1" t="s">
        <v>22</v>
      </c>
      <c r="L872" s="1" t="str">
        <f>HYPERLINK("https://files.afu.se/Downloads/Transcripts/0%20-%20Government/USA%20-%20NASA%20Kennedy/2015 10 02 - NASA's Kennedy Space Center - Inside KSC! October 2, 2015_rRyeTkE4glM - transcript (automated).pdf","Transcript Link")</f>
        <v>Transcript Link</v>
      </c>
      <c r="M872" s="2" t="str">
        <f>HYPERLINK("https://files.afu.se/Downloads/Transcripts/0%20-%20Government/USA%20-%20NASA%20Kennedy/2015 10 02 - NASA's Kennedy Space Center - Inside KSC! October 2, 2015_rRyeTkE4glM - transcript (automated).pdf","Transcript Link")</f>
        <v>Transcript Link</v>
      </c>
    </row>
    <row r="873" ht="180" spans="1:13">
      <c r="A873" s="1" t="s">
        <v>4059</v>
      </c>
      <c r="B873" s="1" t="s">
        <v>13</v>
      </c>
      <c r="C873" s="4" t="s">
        <v>4060</v>
      </c>
      <c r="D873" s="1" t="s">
        <v>4061</v>
      </c>
      <c r="E873" s="1" t="s">
        <v>4062</v>
      </c>
      <c r="F873" s="4" t="s">
        <v>17</v>
      </c>
      <c r="G873" s="1" t="s">
        <v>18</v>
      </c>
      <c r="H873" s="1" t="s">
        <v>19</v>
      </c>
      <c r="I873" s="1" t="s">
        <v>20</v>
      </c>
      <c r="J873" s="1" t="s">
        <v>4063</v>
      </c>
      <c r="K873" s="1" t="s">
        <v>22</v>
      </c>
      <c r="L873" s="1" t="str">
        <f>HYPERLINK("https://files.afu.se/Downloads/Transcripts/0%20-%20Government/USA%20-%20NASA%20Kennedy/2015 09 25 - NASA's Kennedy Space Center - Inside KSC! Sept. 25, 2015_flX8HXX99nc - transcript (automated).pdf","Transcript Link")</f>
        <v>Transcript Link</v>
      </c>
      <c r="M873" s="2" t="str">
        <f>HYPERLINK("https://files.afu.se/Downloads/Transcripts/0%20-%20Government/USA%20-%20NASA%20Kennedy/2015 09 25 - NASA's Kennedy Space Center - Inside KSC! Sept. 25, 2015_flX8HXX99nc - transcript (automated).pdf","Transcript Link")</f>
        <v>Transcript Link</v>
      </c>
    </row>
    <row r="874" ht="180" spans="1:13">
      <c r="A874" s="1" t="s">
        <v>4064</v>
      </c>
      <c r="B874" s="1" t="s">
        <v>13</v>
      </c>
      <c r="C874" s="4" t="s">
        <v>4065</v>
      </c>
      <c r="D874" s="1" t="s">
        <v>4066</v>
      </c>
      <c r="E874" s="1" t="s">
        <v>4067</v>
      </c>
      <c r="F874" s="4" t="s">
        <v>17</v>
      </c>
      <c r="G874" s="1" t="s">
        <v>18</v>
      </c>
      <c r="H874" s="1" t="s">
        <v>19</v>
      </c>
      <c r="I874" s="1" t="s">
        <v>20</v>
      </c>
      <c r="J874" s="1" t="s">
        <v>4068</v>
      </c>
      <c r="K874" s="1" t="s">
        <v>22</v>
      </c>
      <c r="L874" s="1" t="str">
        <f>HYPERLINK("https://files.afu.se/Downloads/Transcripts/0%20-%20Government/USA%20-%20NASA%20Kennedy/2015 09 18 - NASA's Kennedy Space Center - Inside KSC! Sept. 18, 2015_5bkIcffhcUw - transcript (automated).pdf","Transcript Link")</f>
        <v>Transcript Link</v>
      </c>
      <c r="M874" s="2" t="str">
        <f>HYPERLINK("https://files.afu.se/Downloads/Transcripts/0%20-%20Government/USA%20-%20NASA%20Kennedy/2015 09 18 - NASA's Kennedy Space Center - Inside KSC! Sept. 18, 2015_5bkIcffhcUw - transcript (automated).pdf","Transcript Link")</f>
        <v>Transcript Link</v>
      </c>
    </row>
    <row r="875" ht="180" spans="1:13">
      <c r="A875" s="1" t="s">
        <v>4069</v>
      </c>
      <c r="B875" s="1" t="s">
        <v>13</v>
      </c>
      <c r="C875" s="4" t="s">
        <v>4070</v>
      </c>
      <c r="D875" s="1" t="s">
        <v>4071</v>
      </c>
      <c r="E875" s="1" t="s">
        <v>4072</v>
      </c>
      <c r="F875" s="4" t="s">
        <v>17</v>
      </c>
      <c r="G875" s="1" t="s">
        <v>18</v>
      </c>
      <c r="H875" s="1" t="s">
        <v>19</v>
      </c>
      <c r="I875" s="1" t="s">
        <v>20</v>
      </c>
      <c r="J875" s="1" t="s">
        <v>4073</v>
      </c>
      <c r="K875" s="1" t="s">
        <v>22</v>
      </c>
      <c r="L875" s="1" t="str">
        <f>HYPERLINK("https://files.afu.se/Downloads/Transcripts/0%20-%20Government/USA%20-%20NASA%20Kennedy/2015 09 16 - NASA's Kennedy Space Center - Commercial Crew Access Tower Rising_UjIf8zUSy-w - transcript (automated).pdf","Transcript Link")</f>
        <v>Transcript Link</v>
      </c>
      <c r="M875" s="2" t="str">
        <f>HYPERLINK("https://files.afu.se/Downloads/Transcripts/0%20-%20Government/USA%20-%20NASA%20Kennedy/2015 09 16 - NASA's Kennedy Space Center - Commercial Crew Access Tower Rising_UjIf8zUSy-w - transcript (automated).pdf","Transcript Link")</f>
        <v>Transcript Link</v>
      </c>
    </row>
    <row r="876" ht="180" spans="1:13">
      <c r="A876" s="1" t="s">
        <v>4069</v>
      </c>
      <c r="B876" s="1" t="s">
        <v>13</v>
      </c>
      <c r="C876" s="4" t="s">
        <v>4074</v>
      </c>
      <c r="D876" s="1" t="s">
        <v>4075</v>
      </c>
      <c r="E876" s="1" t="s">
        <v>4076</v>
      </c>
      <c r="F876" s="4" t="s">
        <v>17</v>
      </c>
      <c r="G876" s="1" t="s">
        <v>18</v>
      </c>
      <c r="H876" s="1" t="s">
        <v>19</v>
      </c>
      <c r="I876" s="1" t="s">
        <v>20</v>
      </c>
      <c r="J876" s="1" t="s">
        <v>4077</v>
      </c>
      <c r="K876" s="1" t="s">
        <v>22</v>
      </c>
      <c r="L876" s="1" t="str">
        <f>HYPERLINK("https://files.afu.se/Downloads/Transcripts/0%20-%20Government/USA%20-%20NASA%20Kennedy/2015 09 16 - NASA's Kennedy Space Center - World Trade Center I-beam Tops 9 11 Memorial at Kennedy Space Center_QgFszVWvfd0 - transcript (automated).pdf","Transcript Link")</f>
        <v>Transcript Link</v>
      </c>
      <c r="M876" s="2" t="str">
        <f>HYPERLINK("https://files.afu.se/Downloads/Transcripts/0%20-%20Government/USA%20-%20NASA%20Kennedy/2015 09 16 - NASA's Kennedy Space Center - World Trade Center I-beam Tops 9 11 Memorial at Kennedy Space Center_QgFszVWvfd0 - transcript (automated).pdf","Transcript Link")</f>
        <v>Transcript Link</v>
      </c>
    </row>
    <row r="877" ht="180" spans="1:13">
      <c r="A877" s="1" t="s">
        <v>4078</v>
      </c>
      <c r="B877" s="1" t="s">
        <v>13</v>
      </c>
      <c r="C877" s="4" t="s">
        <v>4079</v>
      </c>
      <c r="D877" s="1" t="s">
        <v>4080</v>
      </c>
      <c r="E877" s="1" t="s">
        <v>4081</v>
      </c>
      <c r="F877" s="4" t="s">
        <v>17</v>
      </c>
      <c r="G877" s="1" t="s">
        <v>18</v>
      </c>
      <c r="H877" s="1" t="s">
        <v>19</v>
      </c>
      <c r="I877" s="1" t="s">
        <v>20</v>
      </c>
      <c r="J877" s="1" t="s">
        <v>4082</v>
      </c>
      <c r="K877" s="1" t="s">
        <v>22</v>
      </c>
      <c r="L877" s="1" t="str">
        <f>HYPERLINK("https://files.afu.se/Downloads/Transcripts/0%20-%20Government/USA%20-%20NASA%20Kennedy/2015 09 11 - NASA's Kennedy Space Center - Inside KSC! Sept. 11, 2015_pAiN3VGxB1Q - transcript (automated).pdf","Transcript Link")</f>
        <v>Transcript Link</v>
      </c>
      <c r="M877" s="2" t="str">
        <f>HYPERLINK("https://files.afu.se/Downloads/Transcripts/0%20-%20Government/USA%20-%20NASA%20Kennedy/2015 09 11 - NASA's Kennedy Space Center - Inside KSC! Sept. 11, 2015_pAiN3VGxB1Q - transcript (automated).pdf","Transcript Link")</f>
        <v>Transcript Link</v>
      </c>
    </row>
    <row r="878" ht="180" spans="1:13">
      <c r="A878" s="1" t="s">
        <v>4078</v>
      </c>
      <c r="B878" s="1" t="s">
        <v>13</v>
      </c>
      <c r="C878" s="4" t="s">
        <v>4083</v>
      </c>
      <c r="D878" s="1" t="s">
        <v>4084</v>
      </c>
      <c r="E878" s="1" t="s">
        <v>4085</v>
      </c>
      <c r="F878" s="4" t="s">
        <v>17</v>
      </c>
      <c r="G878" s="1" t="s">
        <v>18</v>
      </c>
      <c r="H878" s="1" t="s">
        <v>19</v>
      </c>
      <c r="I878" s="1" t="s">
        <v>20</v>
      </c>
      <c r="J878" s="1" t="s">
        <v>4086</v>
      </c>
      <c r="K878" s="1" t="s">
        <v>22</v>
      </c>
      <c r="L878" s="1" t="str">
        <f>HYPERLINK("https://files.afu.se/Downloads/Transcripts/0%20-%20Government/USA%20-%20NASA%20Kennedy/2015 09 11 - NASA's Kennedy Space Center - Boeing Adds CST-100 Starliner Mural to C3PF_5BBgZmEX3Ps - transcript (automated).pdf","Transcript Link")</f>
        <v>Transcript Link</v>
      </c>
      <c r="M878" s="2" t="str">
        <f>HYPERLINK("https://files.afu.se/Downloads/Transcripts/0%20-%20Government/USA%20-%20NASA%20Kennedy/2015 09 11 - NASA's Kennedy Space Center - Boeing Adds CST-100 Starliner Mural to C3PF_5BBgZmEX3Ps - transcript (automated).pdf","Transcript Link")</f>
        <v>Transcript Link</v>
      </c>
    </row>
    <row r="879" ht="180" spans="1:13">
      <c r="A879" s="1" t="s">
        <v>4087</v>
      </c>
      <c r="B879" s="1" t="s">
        <v>13</v>
      </c>
      <c r="C879" s="4" t="s">
        <v>4088</v>
      </c>
      <c r="D879" s="1" t="s">
        <v>4089</v>
      </c>
      <c r="E879" s="1" t="s">
        <v>4090</v>
      </c>
      <c r="F879" s="4" t="s">
        <v>17</v>
      </c>
      <c r="G879" s="1" t="s">
        <v>18</v>
      </c>
      <c r="H879" s="1" t="s">
        <v>19</v>
      </c>
      <c r="I879" s="1" t="s">
        <v>20</v>
      </c>
      <c r="J879" s="1" t="s">
        <v>4091</v>
      </c>
      <c r="K879" s="1" t="s">
        <v>22</v>
      </c>
      <c r="L879" s="1" t="str">
        <f>HYPERLINK("https://files.afu.se/Downloads/Transcripts/0%20-%20Government/USA%20-%20NASA%20Kennedy/2015 09 04 - NASA's Kennedy Space Center - Boeing Unveils Starliner Processing Facility_hh5WaiZTK0k - transcript (automated).pdf","Transcript Link")</f>
        <v>Transcript Link</v>
      </c>
      <c r="M879" s="2" t="str">
        <f>HYPERLINK("https://files.afu.se/Downloads/Transcripts/0%20-%20Government/USA%20-%20NASA%20Kennedy/2015 09 04 - NASA's Kennedy Space Center - Boeing Unveils Starliner Processing Facility_hh5WaiZTK0k - transcript (automated).pdf","Transcript Link")</f>
        <v>Transcript Link</v>
      </c>
    </row>
    <row r="880" ht="180" spans="1:13">
      <c r="A880" s="1" t="s">
        <v>4087</v>
      </c>
      <c r="B880" s="1" t="s">
        <v>13</v>
      </c>
      <c r="C880" s="4" t="s">
        <v>4092</v>
      </c>
      <c r="D880" s="1" t="s">
        <v>4093</v>
      </c>
      <c r="E880" s="1" t="s">
        <v>4094</v>
      </c>
      <c r="F880" s="4" t="s">
        <v>17</v>
      </c>
      <c r="G880" s="1" t="s">
        <v>18</v>
      </c>
      <c r="H880" s="1" t="s">
        <v>19</v>
      </c>
      <c r="I880" s="1" t="s">
        <v>20</v>
      </c>
      <c r="J880" s="1" t="s">
        <v>4095</v>
      </c>
      <c r="K880" s="1" t="s">
        <v>22</v>
      </c>
      <c r="L880" s="1" t="str">
        <f>HYPERLINK("https://files.afu.se/Downloads/Transcripts/0%20-%20Government/USA%20-%20NASA%20Kennedy/2015 09 04 - NASA's Kennedy Space Center - Inside KSC Sept. 4, 2015_68M2uKAA0v4 - transcript (automated).pdf","Transcript Link")</f>
        <v>Transcript Link</v>
      </c>
      <c r="M880" s="2" t="str">
        <f>HYPERLINK("https://files.afu.se/Downloads/Transcripts/0%20-%20Government/USA%20-%20NASA%20Kennedy/2015 09 04 - NASA's Kennedy Space Center - Inside KSC Sept. 4, 2015_68M2uKAA0v4 - transcript (automated).pdf","Transcript Link")</f>
        <v>Transcript Link</v>
      </c>
    </row>
    <row r="881" ht="180" spans="1:13">
      <c r="A881" s="1" t="s">
        <v>4087</v>
      </c>
      <c r="B881" s="1" t="s">
        <v>13</v>
      </c>
      <c r="C881" s="4" t="s">
        <v>4096</v>
      </c>
      <c r="D881" s="1" t="s">
        <v>4097</v>
      </c>
      <c r="E881" s="1" t="s">
        <v>4098</v>
      </c>
      <c r="F881" s="4" t="s">
        <v>17</v>
      </c>
      <c r="G881" s="1" t="s">
        <v>18</v>
      </c>
      <c r="H881" s="1" t="s">
        <v>19</v>
      </c>
      <c r="I881" s="1" t="s">
        <v>20</v>
      </c>
      <c r="J881" s="1" t="s">
        <v>4099</v>
      </c>
      <c r="K881" s="1" t="s">
        <v>22</v>
      </c>
      <c r="L881" s="1" t="str">
        <f>HYPERLINK("https://files.afu.se/Downloads/Transcripts/0%20-%20Government/USA%20-%20NASA%20Kennedy/2015 09 04 - NASA's Kennedy Space Center - Preparing For Our Journey to Mars_tCHAr5uyHV4 - transcript (automated).pdf","Transcript Link")</f>
        <v>Transcript Link</v>
      </c>
      <c r="M881" s="2" t="str">
        <f>HYPERLINK("https://files.afu.se/Downloads/Transcripts/0%20-%20Government/USA%20-%20NASA%20Kennedy/2015 09 04 - NASA's Kennedy Space Center - Preparing For Our Journey to Mars_tCHAr5uyHV4 - transcript (automated).pdf","Transcript Link")</f>
        <v>Transcript Link</v>
      </c>
    </row>
    <row r="882" ht="195" spans="1:13">
      <c r="A882" s="1" t="s">
        <v>4087</v>
      </c>
      <c r="B882" s="1" t="s">
        <v>13</v>
      </c>
      <c r="C882" s="4" t="s">
        <v>4100</v>
      </c>
      <c r="D882" s="1" t="s">
        <v>4101</v>
      </c>
      <c r="E882" s="1" t="s">
        <v>4102</v>
      </c>
      <c r="F882" s="4" t="s">
        <v>17</v>
      </c>
      <c r="G882" s="1" t="s">
        <v>18</v>
      </c>
      <c r="H882" s="1" t="s">
        <v>19</v>
      </c>
      <c r="I882" s="1" t="s">
        <v>20</v>
      </c>
      <c r="J882" s="1" t="s">
        <v>4103</v>
      </c>
      <c r="K882" s="1" t="s">
        <v>22</v>
      </c>
      <c r="L882" s="1" t="str">
        <f>HYPERLINK("https://files.afu.se/Downloads/Transcripts/0%20-%20Government/USA%20-%20NASA%20Kennedy/2015 09 04 - NASA's Kennedy Space Center - America's Spaceport is Ready_FTytXb0R0Yk - transcript (automated).pdf","Transcript Link")</f>
        <v>Transcript Link</v>
      </c>
      <c r="M882" s="2" t="str">
        <f>HYPERLINK("https://files.afu.se/Downloads/Transcripts/0%20-%20Government/USA%20-%20NASA%20Kennedy/2015 09 04 - NASA's Kennedy Space Center - America's Spaceport is Ready_FTytXb0R0Yk - transcript (automated).pdf","Transcript Link")</f>
        <v>Transcript Link</v>
      </c>
    </row>
    <row r="883" ht="180" spans="1:13">
      <c r="A883" s="1" t="s">
        <v>4104</v>
      </c>
      <c r="B883" s="1" t="s">
        <v>13</v>
      </c>
      <c r="C883" s="4" t="s">
        <v>4105</v>
      </c>
      <c r="D883" s="1" t="s">
        <v>4106</v>
      </c>
      <c r="E883" s="1" t="s">
        <v>4107</v>
      </c>
      <c r="F883" s="4" t="s">
        <v>17</v>
      </c>
      <c r="G883" s="1" t="s">
        <v>18</v>
      </c>
      <c r="H883" s="1" t="s">
        <v>19</v>
      </c>
      <c r="I883" s="1" t="s">
        <v>20</v>
      </c>
      <c r="J883" s="1" t="s">
        <v>4108</v>
      </c>
      <c r="K883" s="1" t="s">
        <v>22</v>
      </c>
      <c r="L883" s="1" t="str">
        <f>HYPERLINK("https://files.afu.se/Downloads/Transcripts/0%20-%20Government/USA%20-%20NASA%20Kennedy/2015 09 02 - NASA's Kennedy Space Center - Gator Hatchlings Released Into the Wild_kXqNx00E5qQ - transcript (automated).pdf","Transcript Link")</f>
        <v>Transcript Link</v>
      </c>
      <c r="M883" s="2" t="str">
        <f>HYPERLINK("https://files.afu.se/Downloads/Transcripts/0%20-%20Government/USA%20-%20NASA%20Kennedy/2015 09 02 - NASA's Kennedy Space Center - Gator Hatchlings Released Into the Wild_kXqNx00E5qQ - transcript (automated).pdf","Transcript Link")</f>
        <v>Transcript Link</v>
      </c>
    </row>
    <row r="884" ht="180" spans="1:13">
      <c r="A884" s="1" t="s">
        <v>4104</v>
      </c>
      <c r="B884" s="1" t="s">
        <v>13</v>
      </c>
      <c r="C884" s="4" t="s">
        <v>4109</v>
      </c>
      <c r="D884" s="1" t="s">
        <v>4110</v>
      </c>
      <c r="E884" s="1" t="s">
        <v>4111</v>
      </c>
      <c r="F884" s="4" t="s">
        <v>17</v>
      </c>
      <c r="G884" s="1" t="s">
        <v>18</v>
      </c>
      <c r="H884" s="1" t="s">
        <v>19</v>
      </c>
      <c r="I884" s="1" t="s">
        <v>20</v>
      </c>
      <c r="J884" s="1" t="s">
        <v>4112</v>
      </c>
      <c r="K884" s="1" t="s">
        <v>22</v>
      </c>
      <c r="L884" s="1" t="str">
        <f>HYPERLINK("https://files.afu.se/Downloads/Transcripts/0%20-%20Government/USA%20-%20NASA%20Kennedy/2015 09 02 - NASA's Kennedy Space Center - Early Career R&amp;D Team Reaches Six Month Mark_mjcepGVKtso - transcript (automated).pdf","Transcript Link")</f>
        <v>Transcript Link</v>
      </c>
      <c r="M884" s="2" t="str">
        <f>HYPERLINK("https://files.afu.se/Downloads/Transcripts/0%20-%20Government/USA%20-%20NASA%20Kennedy/2015 09 02 - NASA's Kennedy Space Center - Early Career R&amp;D Team Reaches Six Month Mark_mjcepGVKtso - transcript (automated).pdf","Transcript Link")</f>
        <v>Transcript Link</v>
      </c>
    </row>
    <row r="885" ht="180" spans="1:13">
      <c r="A885" s="1" t="s">
        <v>4113</v>
      </c>
      <c r="B885" s="1" t="s">
        <v>13</v>
      </c>
      <c r="C885" s="4" t="s">
        <v>4114</v>
      </c>
      <c r="D885" s="1" t="s">
        <v>4115</v>
      </c>
      <c r="E885" s="1" t="s">
        <v>4116</v>
      </c>
      <c r="F885" s="4" t="s">
        <v>17</v>
      </c>
      <c r="G885" s="1" t="s">
        <v>18</v>
      </c>
      <c r="H885" s="1" t="s">
        <v>19</v>
      </c>
      <c r="I885" s="1" t="s">
        <v>20</v>
      </c>
      <c r="J885" s="1" t="s">
        <v>4117</v>
      </c>
      <c r="K885" s="1" t="s">
        <v>22</v>
      </c>
      <c r="L885" s="1" t="str">
        <f>HYPERLINK("https://files.afu.se/Downloads/Transcripts/0%20-%20Government/USA%20-%20NASA%20Kennedy/2015 08 28 - NASA's Kennedy Space Center - Inside KSC! Aug. 28, 2015_mTYFOX7pmXI - transcript (automated).pdf","Transcript Link")</f>
        <v>Transcript Link</v>
      </c>
      <c r="M885" s="2" t="str">
        <f>HYPERLINK("https://files.afu.se/Downloads/Transcripts/0%20-%20Government/USA%20-%20NASA%20Kennedy/2015 08 28 - NASA's Kennedy Space Center - Inside KSC! Aug. 28, 2015_mTYFOX7pmXI - transcript (automated).pdf","Transcript Link")</f>
        <v>Transcript Link</v>
      </c>
    </row>
    <row r="886" ht="180" spans="1:13">
      <c r="A886" s="1" t="s">
        <v>4118</v>
      </c>
      <c r="B886" s="1" t="s">
        <v>13</v>
      </c>
      <c r="C886" s="4" t="s">
        <v>4119</v>
      </c>
      <c r="D886" s="1" t="s">
        <v>4120</v>
      </c>
      <c r="E886" s="1" t="s">
        <v>4121</v>
      </c>
      <c r="F886" s="4" t="s">
        <v>17</v>
      </c>
      <c r="G886" s="1" t="s">
        <v>18</v>
      </c>
      <c r="H886" s="1" t="s">
        <v>19</v>
      </c>
      <c r="I886" s="1" t="s">
        <v>20</v>
      </c>
      <c r="J886" s="1" t="s">
        <v>4122</v>
      </c>
      <c r="K886" s="1" t="s">
        <v>22</v>
      </c>
      <c r="L886" s="1" t="str">
        <f>HYPERLINK("https://files.afu.se/Downloads/Transcripts/0%20-%20Government/USA%20-%20NASA%20Kennedy/2015 08 21 - NASA's Kennedy Space Center - Inside KSC! Aug. 21, 2015_hcpdJM5s4VQ - transcript (automated).pdf","Transcript Link")</f>
        <v>Transcript Link</v>
      </c>
      <c r="M886" s="2" t="str">
        <f>HYPERLINK("https://files.afu.se/Downloads/Transcripts/0%20-%20Government/USA%20-%20NASA%20Kennedy/2015 08 21 - NASA's Kennedy Space Center - Inside KSC! Aug. 21, 2015_hcpdJM5s4VQ - transcript (automated).pdf","Transcript Link")</f>
        <v>Transcript Link</v>
      </c>
    </row>
    <row r="887" ht="180" spans="1:13">
      <c r="A887" s="1" t="s">
        <v>4123</v>
      </c>
      <c r="B887" s="1" t="s">
        <v>13</v>
      </c>
      <c r="C887" s="4" t="s">
        <v>4124</v>
      </c>
      <c r="D887" s="1" t="s">
        <v>4125</v>
      </c>
      <c r="E887" s="1" t="s">
        <v>4126</v>
      </c>
      <c r="F887" s="4" t="s">
        <v>17</v>
      </c>
      <c r="G887" s="1" t="s">
        <v>18</v>
      </c>
      <c r="H887" s="1" t="s">
        <v>19</v>
      </c>
      <c r="I887" s="1" t="s">
        <v>20</v>
      </c>
      <c r="J887" s="1" t="s">
        <v>4127</v>
      </c>
      <c r="K887" s="1" t="s">
        <v>22</v>
      </c>
      <c r="L887" s="1" t="str">
        <f>HYPERLINK("https://files.afu.se/Downloads/Transcripts/0%20-%20Government/USA%20-%20NASA%20Kennedy/2015 08 14 - NASA's Kennedy Space Center - Researchers Demonstrate Veggie Experiment_RvIpqI41_eU - transcript (automated).pdf","Transcript Link")</f>
        <v>Transcript Link</v>
      </c>
      <c r="M887" s="2" t="str">
        <f>HYPERLINK("https://files.afu.se/Downloads/Transcripts/0%20-%20Government/USA%20-%20NASA%20Kennedy/2015 08 14 - NASA's Kennedy Space Center - Researchers Demonstrate Veggie Experiment_RvIpqI41_eU - transcript (automated).pdf","Transcript Link")</f>
        <v>Transcript Link</v>
      </c>
    </row>
    <row r="888" ht="180" spans="1:13">
      <c r="A888" s="1" t="s">
        <v>4123</v>
      </c>
      <c r="B888" s="1" t="s">
        <v>13</v>
      </c>
      <c r="C888" s="4" t="s">
        <v>4128</v>
      </c>
      <c r="D888" s="1" t="s">
        <v>4129</v>
      </c>
      <c r="E888" s="1" t="s">
        <v>4130</v>
      </c>
      <c r="F888" s="4" t="s">
        <v>17</v>
      </c>
      <c r="G888" s="1" t="s">
        <v>18</v>
      </c>
      <c r="H888" s="1" t="s">
        <v>19</v>
      </c>
      <c r="I888" s="1" t="s">
        <v>20</v>
      </c>
      <c r="J888" s="1" t="s">
        <v>4131</v>
      </c>
      <c r="K888" s="1" t="s">
        <v>22</v>
      </c>
      <c r="L888" s="1" t="str">
        <f>HYPERLINK("https://files.afu.se/Downloads/Transcripts/0%20-%20Government/USA%20-%20NASA%20Kennedy/2015 08 14 - NASA's Kennedy Space Center - Inside KSC! Aug. 14, 2015_RKZ4zmAOI1A - transcript (automated).pdf","Transcript Link")</f>
        <v>Transcript Link</v>
      </c>
      <c r="M888" s="2" t="str">
        <f>HYPERLINK("https://files.afu.se/Downloads/Transcripts/0%20-%20Government/USA%20-%20NASA%20Kennedy/2015 08 14 - NASA's Kennedy Space Center - Inside KSC! Aug. 14, 2015_RKZ4zmAOI1A - transcript (automated).pdf","Transcript Link")</f>
        <v>Transcript Link</v>
      </c>
    </row>
    <row r="889" ht="180" spans="1:13">
      <c r="A889" s="1" t="s">
        <v>4132</v>
      </c>
      <c r="B889" s="1" t="s">
        <v>13</v>
      </c>
      <c r="C889" s="4" t="s">
        <v>4133</v>
      </c>
      <c r="D889" s="1" t="s">
        <v>4134</v>
      </c>
      <c r="E889" s="1" t="s">
        <v>4135</v>
      </c>
      <c r="F889" s="4" t="s">
        <v>17</v>
      </c>
      <c r="G889" s="1" t="s">
        <v>18</v>
      </c>
      <c r="H889" s="1" t="s">
        <v>19</v>
      </c>
      <c r="I889" s="1" t="s">
        <v>20</v>
      </c>
      <c r="J889" s="1" t="s">
        <v>4136</v>
      </c>
      <c r="K889" s="1" t="s">
        <v>22</v>
      </c>
      <c r="L889" s="1" t="str">
        <f>HYPERLINK("https://files.afu.se/Downloads/Transcripts/0%20-%20Government/USA%20-%20NASA%20Kennedy/2015 08 10 - NASA's Kennedy Space Center - Space-grown Veggies Ready to Eat_aQ_1W7xIHvc - transcript (automated).pdf","Transcript Link")</f>
        <v>Transcript Link</v>
      </c>
      <c r="M889" s="2" t="str">
        <f>HYPERLINK("https://files.afu.se/Downloads/Transcripts/0%20-%20Government/USA%20-%20NASA%20Kennedy/2015 08 10 - NASA's Kennedy Space Center - Space-grown Veggies Ready to Eat_aQ_1W7xIHvc - transcript (automated).pdf","Transcript Link")</f>
        <v>Transcript Link</v>
      </c>
    </row>
    <row r="890" ht="180" spans="1:13">
      <c r="A890" s="1" t="s">
        <v>4132</v>
      </c>
      <c r="B890" s="1" t="s">
        <v>13</v>
      </c>
      <c r="C890" s="4" t="s">
        <v>4137</v>
      </c>
      <c r="D890" s="1" t="s">
        <v>4138</v>
      </c>
      <c r="E890" s="1" t="s">
        <v>4139</v>
      </c>
      <c r="F890" s="4" t="s">
        <v>17</v>
      </c>
      <c r="G890" s="1" t="s">
        <v>18</v>
      </c>
      <c r="H890" s="1" t="s">
        <v>19</v>
      </c>
      <c r="I890" s="1" t="s">
        <v>20</v>
      </c>
      <c r="J890" s="1" t="s">
        <v>4140</v>
      </c>
      <c r="K890" s="1" t="s">
        <v>22</v>
      </c>
      <c r="L890" s="1" t="str">
        <f>HYPERLINK("https://files.afu.se/Downloads/Transcripts/0%20-%20Government/USA%20-%20NASA%20Kennedy/2015 08 10 - NASA's Kennedy Space Center - Veggie  Lettuce Prepared for Harvest_CgfJFKwvDDI - transcript (automated).pdf","Transcript Link")</f>
        <v>Transcript Link</v>
      </c>
      <c r="M890" s="2" t="str">
        <f>HYPERLINK("https://files.afu.se/Downloads/Transcripts/0%20-%20Government/USA%20-%20NASA%20Kennedy/2015 08 10 - NASA's Kennedy Space Center - Veggie  Lettuce Prepared for Harvest_CgfJFKwvDDI - transcript (automated).pdf","Transcript Link")</f>
        <v>Transcript Link</v>
      </c>
    </row>
    <row r="891" ht="180" spans="1:13">
      <c r="A891" s="1" t="s">
        <v>4132</v>
      </c>
      <c r="B891" s="1" t="s">
        <v>13</v>
      </c>
      <c r="C891" s="4" t="s">
        <v>4141</v>
      </c>
      <c r="D891" s="1" t="s">
        <v>4142</v>
      </c>
      <c r="E891" s="1" t="s">
        <v>4143</v>
      </c>
      <c r="F891" s="4" t="s">
        <v>17</v>
      </c>
      <c r="G891" s="1" t="s">
        <v>18</v>
      </c>
      <c r="H891" s="1" t="s">
        <v>19</v>
      </c>
      <c r="I891" s="1" t="s">
        <v>20</v>
      </c>
      <c r="J891" s="1" t="s">
        <v>4144</v>
      </c>
      <c r="K891" s="1" t="s">
        <v>22</v>
      </c>
      <c r="L891" s="1" t="str">
        <f>HYPERLINK("https://files.afu.se/Downloads/Transcripts/0%20-%20Government/USA%20-%20NASA%20Kennedy/2015 08 10 - NASA's Kennedy Space Center - Astronauts Prepare to Eat Their Veggies_CBcEtOcWkq8 - transcript (automated).pdf","Transcript Link")</f>
        <v>Transcript Link</v>
      </c>
      <c r="M891" s="2" t="str">
        <f>HYPERLINK("https://files.afu.se/Downloads/Transcripts/0%20-%20Government/USA%20-%20NASA%20Kennedy/2015 08 10 - NASA's Kennedy Space Center - Astronauts Prepare to Eat Their Veggies_CBcEtOcWkq8 - transcript (automated).pdf","Transcript Link")</f>
        <v>Transcript Link</v>
      </c>
    </row>
    <row r="892" ht="180" spans="1:13">
      <c r="A892" s="1" t="s">
        <v>4132</v>
      </c>
      <c r="B892" s="1" t="s">
        <v>13</v>
      </c>
      <c r="C892" s="4" t="s">
        <v>4145</v>
      </c>
      <c r="D892" s="1" t="s">
        <v>4146</v>
      </c>
      <c r="E892" s="1" t="s">
        <v>4147</v>
      </c>
      <c r="F892" s="4" t="s">
        <v>17</v>
      </c>
      <c r="G892" s="1" t="s">
        <v>18</v>
      </c>
      <c r="H892" s="1" t="s">
        <v>19</v>
      </c>
      <c r="I892" s="1" t="s">
        <v>20</v>
      </c>
      <c r="J892" s="1" t="s">
        <v>4148</v>
      </c>
      <c r="K892" s="1" t="s">
        <v>22</v>
      </c>
      <c r="L892" s="1" t="str">
        <f>HYPERLINK("https://files.afu.se/Downloads/Transcripts/0%20-%20Government/USA%20-%20NASA%20Kennedy/2015 08 10 - NASA's Kennedy Space Center - Veggies in Space  Astronauts Sample Freshly Grown Lettuce_D_723qwjULM - transcript (automated).pdf","Transcript Link")</f>
        <v>Transcript Link</v>
      </c>
      <c r="M892" s="2" t="str">
        <f>HYPERLINK("https://files.afu.se/Downloads/Transcripts/0%20-%20Government/USA%20-%20NASA%20Kennedy/2015 08 10 - NASA's Kennedy Space Center - Veggies in Space  Astronauts Sample Freshly Grown Lettuce_D_723qwjULM - transcript (automated).pdf","Transcript Link")</f>
        <v>Transcript Link</v>
      </c>
    </row>
    <row r="893" ht="180" spans="1:13">
      <c r="A893" s="1" t="s">
        <v>4149</v>
      </c>
      <c r="B893" s="1" t="s">
        <v>13</v>
      </c>
      <c r="C893" s="4" t="s">
        <v>4150</v>
      </c>
      <c r="D893" s="1" t="s">
        <v>4151</v>
      </c>
      <c r="E893" s="1" t="s">
        <v>4152</v>
      </c>
      <c r="F893" s="4" t="s">
        <v>17</v>
      </c>
      <c r="G893" s="1" t="s">
        <v>18</v>
      </c>
      <c r="H893" s="1" t="s">
        <v>19</v>
      </c>
      <c r="I893" s="1" t="s">
        <v>20</v>
      </c>
      <c r="J893" s="1" t="s">
        <v>4153</v>
      </c>
      <c r="K893" s="1" t="s">
        <v>22</v>
      </c>
      <c r="L893" s="1" t="str">
        <f>HYPERLINK("https://files.afu.se/Downloads/Transcripts/0%20-%20Government/USA%20-%20NASA%20Kennedy/2015 08 07 - NASA's Kennedy Space Center - Veggie Harvest  First Taste of History_HDW3cxexUPY - transcript (automated).pdf","Transcript Link")</f>
        <v>Transcript Link</v>
      </c>
      <c r="M893" s="2" t="str">
        <f>HYPERLINK("https://files.afu.se/Downloads/Transcripts/0%20-%20Government/USA%20-%20NASA%20Kennedy/2015 08 07 - NASA's Kennedy Space Center - Veggie Harvest  First Taste of History_HDW3cxexUPY - transcript (automated).pdf","Transcript Link")</f>
        <v>Transcript Link</v>
      </c>
    </row>
    <row r="894" ht="180" spans="1:13">
      <c r="A894" s="1" t="s">
        <v>4149</v>
      </c>
      <c r="B894" s="1" t="s">
        <v>13</v>
      </c>
      <c r="C894" s="4" t="s">
        <v>4154</v>
      </c>
      <c r="D894" s="1" t="s">
        <v>4155</v>
      </c>
      <c r="E894" s="1" t="s">
        <v>4156</v>
      </c>
      <c r="F894" s="4" t="s">
        <v>17</v>
      </c>
      <c r="G894" s="1" t="s">
        <v>18</v>
      </c>
      <c r="H894" s="1" t="s">
        <v>19</v>
      </c>
      <c r="I894" s="1" t="s">
        <v>20</v>
      </c>
      <c r="J894" s="1" t="s">
        <v>4157</v>
      </c>
      <c r="K894" s="1" t="s">
        <v>22</v>
      </c>
      <c r="L894" s="1" t="str">
        <f>HYPERLINK("https://files.afu.se/Downloads/Transcripts/0%20-%20Government/USA%20-%20NASA%20Kennedy/2015 08 07 - NASA's Kennedy Space Center - Inside KSC! August 7, 2015_blppA8tsBW0 - transcript (automated).pdf","Transcript Link")</f>
        <v>Transcript Link</v>
      </c>
      <c r="M894" s="2" t="str">
        <f>HYPERLINK("https://files.afu.se/Downloads/Transcripts/0%20-%20Government/USA%20-%20NASA%20Kennedy/2015 08 07 - NASA's Kennedy Space Center - Inside KSC! August 7, 2015_blppA8tsBW0 - transcript (automated).pdf","Transcript Link")</f>
        <v>Transcript Link</v>
      </c>
    </row>
    <row r="895" ht="180" spans="1:13">
      <c r="A895" s="1" t="s">
        <v>4158</v>
      </c>
      <c r="B895" s="1" t="s">
        <v>13</v>
      </c>
      <c r="C895" s="4" t="s">
        <v>4159</v>
      </c>
      <c r="D895" s="1" t="s">
        <v>4160</v>
      </c>
      <c r="E895" s="1" t="s">
        <v>4161</v>
      </c>
      <c r="F895" s="4" t="s">
        <v>17</v>
      </c>
      <c r="G895" s="1" t="s">
        <v>18</v>
      </c>
      <c r="H895" s="1" t="s">
        <v>19</v>
      </c>
      <c r="I895" s="1" t="s">
        <v>20</v>
      </c>
      <c r="J895" s="1" t="s">
        <v>4162</v>
      </c>
      <c r="K895" s="1" t="s">
        <v>22</v>
      </c>
      <c r="L895" s="1" t="str">
        <f>HYPERLINK("https://files.afu.se/Downloads/Transcripts/0%20-%20Government/USA%20-%20NASA%20Kennedy/2015 08 04 - NASA's Kennedy Space Center - Launch Pad 39C Ready for Small Class Rockets at Kennedy Space Center_10XHrKlQJ0g - transcript (automated).pdf","Transcript Link")</f>
        <v>Transcript Link</v>
      </c>
      <c r="M895" s="2" t="str">
        <f>HYPERLINK("https://files.afu.se/Downloads/Transcripts/0%20-%20Government/USA%20-%20NASA%20Kennedy/2015 08 04 - NASA's Kennedy Space Center - Launch Pad 39C Ready for Small Class Rockets at Kennedy Space Center_10XHrKlQJ0g - transcript (automated).pdf","Transcript Link")</f>
        <v>Transcript Link</v>
      </c>
    </row>
    <row r="896" ht="180" spans="1:13">
      <c r="A896" s="1" t="s">
        <v>4163</v>
      </c>
      <c r="B896" s="1" t="s">
        <v>13</v>
      </c>
      <c r="C896" s="4" t="s">
        <v>4164</v>
      </c>
      <c r="D896" s="1" t="s">
        <v>4165</v>
      </c>
      <c r="E896" s="1" t="s">
        <v>4166</v>
      </c>
      <c r="F896" s="4" t="s">
        <v>17</v>
      </c>
      <c r="G896" s="1" t="s">
        <v>18</v>
      </c>
      <c r="H896" s="1" t="s">
        <v>19</v>
      </c>
      <c r="I896" s="1" t="s">
        <v>20</v>
      </c>
      <c r="J896" s="1" t="s">
        <v>4167</v>
      </c>
      <c r="K896" s="1" t="s">
        <v>22</v>
      </c>
      <c r="L896" s="1" t="str">
        <f>HYPERLINK("https://files.afu.se/Downloads/Transcripts/0%20-%20Government/USA%20-%20NASA%20Kennedy/2015 08 03 - NASA's Kennedy Space Center - Emergency Response Training Focuses on Technology, Innovation_LPhCiflVZXs - transcript (automated).pdf","Transcript Link")</f>
        <v>Transcript Link</v>
      </c>
      <c r="M896" s="2" t="str">
        <f>HYPERLINK("https://files.afu.se/Downloads/Transcripts/0%20-%20Government/USA%20-%20NASA%20Kennedy/2015 08 03 - NASA's Kennedy Space Center - Emergency Response Training Focuses on Technology, Innovation_LPhCiflVZXs - transcript (automated).pdf","Transcript Link")</f>
        <v>Transcript Link</v>
      </c>
    </row>
    <row r="897" ht="180" spans="1:13">
      <c r="A897" s="1" t="s">
        <v>4168</v>
      </c>
      <c r="B897" s="1" t="s">
        <v>13</v>
      </c>
      <c r="C897" s="4" t="s">
        <v>4169</v>
      </c>
      <c r="D897" s="1" t="s">
        <v>4170</v>
      </c>
      <c r="E897" s="1" t="s">
        <v>4171</v>
      </c>
      <c r="F897" s="4" t="s">
        <v>17</v>
      </c>
      <c r="G897" s="1" t="s">
        <v>18</v>
      </c>
      <c r="H897" s="1" t="s">
        <v>19</v>
      </c>
      <c r="I897" s="1" t="s">
        <v>20</v>
      </c>
      <c r="J897" s="1" t="s">
        <v>4172</v>
      </c>
      <c r="K897" s="1" t="s">
        <v>22</v>
      </c>
      <c r="L897" s="1" t="str">
        <f>HYPERLINK("https://files.afu.se/Downloads/Transcripts/0%20-%20Government/USA%20-%20NASA%20Kennedy/2015 07 31 - NASA's Kennedy Space Center - Inside KSC! July 31, 2015_2ASKYNyF15k - transcript (automated).pdf","Transcript Link")</f>
        <v>Transcript Link</v>
      </c>
      <c r="M897" s="2" t="str">
        <f>HYPERLINK("https://files.afu.se/Downloads/Transcripts/0%20-%20Government/USA%20-%20NASA%20Kennedy/2015 07 31 - NASA's Kennedy Space Center - Inside KSC! July 31, 2015_2ASKYNyF15k - transcript (automated).pdf","Transcript Link")</f>
        <v>Transcript Link</v>
      </c>
    </row>
    <row r="898" ht="180" spans="1:13">
      <c r="A898" s="1" t="s">
        <v>4173</v>
      </c>
      <c r="B898" s="1" t="s">
        <v>13</v>
      </c>
      <c r="C898" s="4" t="s">
        <v>4174</v>
      </c>
      <c r="D898" s="1" t="s">
        <v>4175</v>
      </c>
      <c r="E898" s="1" t="s">
        <v>4176</v>
      </c>
      <c r="F898" s="4" t="s">
        <v>17</v>
      </c>
      <c r="G898" s="1" t="s">
        <v>18</v>
      </c>
      <c r="H898" s="1" t="s">
        <v>19</v>
      </c>
      <c r="I898" s="1" t="s">
        <v>20</v>
      </c>
      <c r="J898" s="1" t="s">
        <v>4177</v>
      </c>
      <c r="K898" s="1" t="s">
        <v>22</v>
      </c>
      <c r="L898" s="1" t="str">
        <f>HYPERLINK("https://files.afu.se/Downloads/Transcripts/0%20-%20Government/USA%20-%20NASA%20Kennedy/2015 07 30 - NASA's Kennedy Space Center - Asteroid Prospector Flyer Test (Loud)_CYjfI7ffF6w - transcript (automated).pdf","Transcript Link")</f>
        <v>Transcript Link</v>
      </c>
      <c r="M898" s="2" t="str">
        <f>HYPERLINK("https://files.afu.se/Downloads/Transcripts/0%20-%20Government/USA%20-%20NASA%20Kennedy/2015 07 30 - NASA's Kennedy Space Center - Asteroid Prospector Flyer Test (Loud)_CYjfI7ffF6w - transcript (automated).pdf","Transcript Link")</f>
        <v>Transcript Link</v>
      </c>
    </row>
    <row r="899" ht="180" spans="1:13">
      <c r="A899" s="1" t="s">
        <v>4178</v>
      </c>
      <c r="B899" s="1" t="s">
        <v>13</v>
      </c>
      <c r="C899" s="4" t="s">
        <v>4179</v>
      </c>
      <c r="D899" s="1" t="s">
        <v>4180</v>
      </c>
      <c r="E899" s="1" t="s">
        <v>4181</v>
      </c>
      <c r="F899" s="4" t="s">
        <v>17</v>
      </c>
      <c r="G899" s="1" t="s">
        <v>18</v>
      </c>
      <c r="H899" s="1" t="s">
        <v>19</v>
      </c>
      <c r="I899" s="1" t="s">
        <v>20</v>
      </c>
      <c r="J899" s="1" t="s">
        <v>4182</v>
      </c>
      <c r="K899" s="1" t="s">
        <v>22</v>
      </c>
      <c r="L899" s="1" t="str">
        <f>HYPERLINK("https://files.afu.se/Downloads/Transcripts/0%20-%20Government/USA%20-%20NASA%20Kennedy/2015 07 28 - NASA's Kennedy Space Center - Kennedy Space Center 2015 Honor Awards_OET3e3XTfeg - transcript (automated).pdf","Transcript Link")</f>
        <v>Transcript Link</v>
      </c>
      <c r="M899" s="2" t="str">
        <f>HYPERLINK("https://files.afu.se/Downloads/Transcripts/0%20-%20Government/USA%20-%20NASA%20Kennedy/2015 07 28 - NASA's Kennedy Space Center - Kennedy Space Center 2015 Honor Awards_OET3e3XTfeg - transcript (automated).pdf","Transcript Link")</f>
        <v>Transcript Link</v>
      </c>
    </row>
    <row r="900" ht="180" spans="1:13">
      <c r="A900" s="1" t="s">
        <v>4183</v>
      </c>
      <c r="B900" s="1" t="s">
        <v>13</v>
      </c>
      <c r="C900" s="4" t="s">
        <v>4184</v>
      </c>
      <c r="D900" s="1" t="s">
        <v>4185</v>
      </c>
      <c r="E900" s="1" t="s">
        <v>4186</v>
      </c>
      <c r="F900" s="4" t="s">
        <v>17</v>
      </c>
      <c r="G900" s="1" t="s">
        <v>18</v>
      </c>
      <c r="H900" s="1" t="s">
        <v>19</v>
      </c>
      <c r="I900" s="1" t="s">
        <v>20</v>
      </c>
      <c r="J900" s="1" t="s">
        <v>4187</v>
      </c>
      <c r="K900" s="1" t="s">
        <v>22</v>
      </c>
      <c r="L900" s="1" t="str">
        <f>HYPERLINK("https://files.afu.se/Downloads/Transcripts/0%20-%20Government/USA%20-%20NASA%20Kennedy/2015 07 24 - NASA's Kennedy Space Center - Inside KSC! July 24, 2015, with Dava Newman_LGgyO6LhAe8 - transcript (automated).pdf","Transcript Link")</f>
        <v>Transcript Link</v>
      </c>
      <c r="M900" s="2" t="str">
        <f>HYPERLINK("https://files.afu.se/Downloads/Transcripts/0%20-%20Government/USA%20-%20NASA%20Kennedy/2015 07 24 - NASA's Kennedy Space Center - Inside KSC! July 24, 2015, with Dava Newman_LGgyO6LhAe8 - transcript (automated).pdf","Transcript Link")</f>
        <v>Transcript Link</v>
      </c>
    </row>
    <row r="901" ht="180" spans="1:13">
      <c r="A901" s="1" t="s">
        <v>4188</v>
      </c>
      <c r="B901" s="1" t="s">
        <v>13</v>
      </c>
      <c r="C901" s="4" t="s">
        <v>4189</v>
      </c>
      <c r="D901" s="1" t="s">
        <v>4190</v>
      </c>
      <c r="E901" s="1" t="s">
        <v>4191</v>
      </c>
      <c r="F901" s="4" t="s">
        <v>17</v>
      </c>
      <c r="G901" s="1" t="s">
        <v>18</v>
      </c>
      <c r="H901" s="1" t="s">
        <v>19</v>
      </c>
      <c r="I901" s="1" t="s">
        <v>20</v>
      </c>
      <c r="J901" s="1" t="s">
        <v>4192</v>
      </c>
      <c r="K901" s="1" t="s">
        <v>22</v>
      </c>
      <c r="L901" s="1" t="str">
        <f>HYPERLINK("https://files.afu.se/Downloads/Transcripts/0%20-%20Government/USA%20-%20NASA%20Kennedy/2015 07 17 - NASA's Kennedy Space Center - Kennedy Completes Pad C for Small Class Launchers_ysH86oXWyAs - transcript (automated).pdf","Transcript Link")</f>
        <v>Transcript Link</v>
      </c>
      <c r="M901" s="2" t="str">
        <f>HYPERLINK("https://files.afu.se/Downloads/Transcripts/0%20-%20Government/USA%20-%20NASA%20Kennedy/2015 07 17 - NASA's Kennedy Space Center - Kennedy Completes Pad C for Small Class Launchers_ysH86oXWyAs - transcript (automated).pdf","Transcript Link")</f>
        <v>Transcript Link</v>
      </c>
    </row>
    <row r="902" ht="180" spans="1:13">
      <c r="A902" s="1" t="s">
        <v>4193</v>
      </c>
      <c r="B902" s="1" t="s">
        <v>13</v>
      </c>
      <c r="C902" s="4" t="s">
        <v>4194</v>
      </c>
      <c r="D902" s="1" t="s">
        <v>4195</v>
      </c>
      <c r="E902" s="1" t="s">
        <v>4196</v>
      </c>
      <c r="F902" s="4" t="s">
        <v>17</v>
      </c>
      <c r="G902" s="1" t="s">
        <v>18</v>
      </c>
      <c r="H902" s="1" t="s">
        <v>19</v>
      </c>
      <c r="I902" s="1" t="s">
        <v>20</v>
      </c>
      <c r="J902" s="1" t="s">
        <v>4197</v>
      </c>
      <c r="K902" s="1" t="s">
        <v>22</v>
      </c>
      <c r="L902" s="1" t="str">
        <f>HYPERLINK("https://files.afu.se/Downloads/Transcripts/0%20-%20Government/USA%20-%20NASA%20Kennedy/2015 07 16 - NASA's Kennedy Space Center - Inside KSC! July 17, 2015 with Ian Ziering_q_WlqPcxa8M - transcript (automated).pdf","Transcript Link")</f>
        <v>Transcript Link</v>
      </c>
      <c r="M902" s="2" t="str">
        <f>HYPERLINK("https://files.afu.se/Downloads/Transcripts/0%20-%20Government/USA%20-%20NASA%20Kennedy/2015 07 16 - NASA's Kennedy Space Center - Inside KSC! July 17, 2015 with Ian Ziering_q_WlqPcxa8M - transcript (automated).pdf","Transcript Link")</f>
        <v>Transcript Link</v>
      </c>
    </row>
    <row r="903" ht="180" spans="1:13">
      <c r="A903" s="1" t="s">
        <v>4193</v>
      </c>
      <c r="B903" s="1" t="s">
        <v>13</v>
      </c>
      <c r="C903" s="4" t="s">
        <v>4198</v>
      </c>
      <c r="D903" s="1" t="s">
        <v>4199</v>
      </c>
      <c r="E903" s="1" t="s">
        <v>4200</v>
      </c>
      <c r="F903" s="4" t="s">
        <v>17</v>
      </c>
      <c r="G903" s="1" t="s">
        <v>18</v>
      </c>
      <c r="H903" s="1" t="s">
        <v>19</v>
      </c>
      <c r="I903" s="1" t="s">
        <v>20</v>
      </c>
      <c r="J903" s="1" t="s">
        <v>4201</v>
      </c>
      <c r="K903" s="1" t="s">
        <v>22</v>
      </c>
      <c r="L903" s="1" t="str">
        <f>HYPERLINK("https://files.afu.se/Downloads/Transcripts/0%20-%20Government/USA%20-%20NASA%20Kennedy/2015 07 16 - NASA's Kennedy Space Center - LSP  Planning Today for Launch Tomorrow_cBCB-I5HMPE - transcript (automated).pdf","Transcript Link")</f>
        <v>Transcript Link</v>
      </c>
      <c r="M903" s="2" t="str">
        <f>HYPERLINK("https://files.afu.se/Downloads/Transcripts/0%20-%20Government/USA%20-%20NASA%20Kennedy/2015 07 16 - NASA's Kennedy Space Center - LSP  Planning Today for Launch Tomorrow_cBCB-I5HMPE - transcript (automated).pdf","Transcript Link")</f>
        <v>Transcript Link</v>
      </c>
    </row>
    <row r="904" ht="180" spans="1:13">
      <c r="A904" s="1" t="s">
        <v>4202</v>
      </c>
      <c r="B904" s="1" t="s">
        <v>13</v>
      </c>
      <c r="C904" s="4" t="s">
        <v>4203</v>
      </c>
      <c r="D904" s="1" t="s">
        <v>4204</v>
      </c>
      <c r="E904" s="1" t="s">
        <v>4205</v>
      </c>
      <c r="F904" s="4" t="s">
        <v>17</v>
      </c>
      <c r="G904" s="1" t="s">
        <v>18</v>
      </c>
      <c r="H904" s="1" t="s">
        <v>19</v>
      </c>
      <c r="I904" s="1" t="s">
        <v>20</v>
      </c>
      <c r="J904" s="1" t="s">
        <v>4206</v>
      </c>
      <c r="K904" s="1" t="s">
        <v>22</v>
      </c>
      <c r="L904" s="1" t="str">
        <f>HYPERLINK("https://files.afu.se/Downloads/Transcripts/0%20-%20Government/USA%20-%20NASA%20Kennedy/2015 07 10 - NASA's Kennedy Space Center - Inside KSC! July 10, 2015_-49ssHebxyw - transcript (automated).pdf","Transcript Link")</f>
        <v>Transcript Link</v>
      </c>
      <c r="M904" s="2" t="str">
        <f>HYPERLINK("https://files.afu.se/Downloads/Transcripts/0%20-%20Government/USA%20-%20NASA%20Kennedy/2015 07 10 - NASA's Kennedy Space Center - Inside KSC! July 10, 2015_-49ssHebxyw - transcript (automated).pdf","Transcript Link")</f>
        <v>Transcript Link</v>
      </c>
    </row>
    <row r="905" ht="180" spans="1:13">
      <c r="A905" s="1" t="s">
        <v>4207</v>
      </c>
      <c r="B905" s="1" t="s">
        <v>13</v>
      </c>
      <c r="C905" s="4" t="s">
        <v>4208</v>
      </c>
      <c r="D905" s="1" t="s">
        <v>4209</v>
      </c>
      <c r="E905" s="1" t="s">
        <v>4210</v>
      </c>
      <c r="F905" s="4" t="s">
        <v>17</v>
      </c>
      <c r="G905" s="1" t="s">
        <v>18</v>
      </c>
      <c r="H905" s="1" t="s">
        <v>19</v>
      </c>
      <c r="I905" s="1" t="s">
        <v>20</v>
      </c>
      <c r="J905" s="1" t="s">
        <v>4211</v>
      </c>
      <c r="K905" s="1" t="s">
        <v>22</v>
      </c>
      <c r="L905" s="1" t="str">
        <f>HYPERLINK("https://files.afu.se/Downloads/Transcripts/0%20-%20Government/USA%20-%20NASA%20Kennedy/2015 07 09 - NASA's Kennedy Space Center - NASA Selects Bob Behnken for Commercial Crew_6KTnohSNCsI - transcript (automated).pdf","Transcript Link")</f>
        <v>Transcript Link</v>
      </c>
      <c r="M905" s="2" t="str">
        <f>HYPERLINK("https://files.afu.se/Downloads/Transcripts/0%20-%20Government/USA%20-%20NASA%20Kennedy/2015 07 09 - NASA's Kennedy Space Center - NASA Selects Bob Behnken for Commercial Crew_6KTnohSNCsI - transcript (automated).pdf","Transcript Link")</f>
        <v>Transcript Link</v>
      </c>
    </row>
    <row r="906" ht="180" spans="1:13">
      <c r="A906" s="1" t="s">
        <v>4207</v>
      </c>
      <c r="B906" s="1" t="s">
        <v>13</v>
      </c>
      <c r="C906" s="4" t="s">
        <v>4212</v>
      </c>
      <c r="D906" s="1" t="s">
        <v>4213</v>
      </c>
      <c r="E906" s="1" t="s">
        <v>4214</v>
      </c>
      <c r="F906" s="4" t="s">
        <v>17</v>
      </c>
      <c r="G906" s="1" t="s">
        <v>18</v>
      </c>
      <c r="H906" s="1" t="s">
        <v>19</v>
      </c>
      <c r="I906" s="1" t="s">
        <v>20</v>
      </c>
      <c r="J906" s="1" t="s">
        <v>4215</v>
      </c>
      <c r="K906" s="1" t="s">
        <v>22</v>
      </c>
      <c r="L906" s="1" t="str">
        <f>HYPERLINK("https://files.afu.se/Downloads/Transcripts/0%20-%20Government/USA%20-%20NASA%20Kennedy/2015 07 09 - NASA's Kennedy Space Center - NASA Selects Eric Boe for Commercial Crew_GUr5jNa5Mmc - transcript (automated).pdf","Transcript Link")</f>
        <v>Transcript Link</v>
      </c>
      <c r="M906" s="2" t="str">
        <f>HYPERLINK("https://files.afu.se/Downloads/Transcripts/0%20-%20Government/USA%20-%20NASA%20Kennedy/2015 07 09 - NASA's Kennedy Space Center - NASA Selects Eric Boe for Commercial Crew_GUr5jNa5Mmc - transcript (automated).pdf","Transcript Link")</f>
        <v>Transcript Link</v>
      </c>
    </row>
    <row r="907" ht="195" spans="1:13">
      <c r="A907" s="1" t="s">
        <v>4207</v>
      </c>
      <c r="B907" s="1" t="s">
        <v>13</v>
      </c>
      <c r="C907" s="4" t="s">
        <v>4216</v>
      </c>
      <c r="D907" s="1" t="s">
        <v>4217</v>
      </c>
      <c r="E907" s="1" t="s">
        <v>4218</v>
      </c>
      <c r="F907" s="4" t="s">
        <v>17</v>
      </c>
      <c r="G907" s="1" t="s">
        <v>18</v>
      </c>
      <c r="H907" s="1" t="s">
        <v>19</v>
      </c>
      <c r="I907" s="1" t="s">
        <v>20</v>
      </c>
      <c r="J907" s="1" t="s">
        <v>4219</v>
      </c>
      <c r="K907" s="1" t="s">
        <v>22</v>
      </c>
      <c r="L907" s="1" t="str">
        <f>HYPERLINK("https://files.afu.se/Downloads/Transcripts/0%20-%20Government/USA%20-%20NASA%20Kennedy/2015 07 09 - NASA's Kennedy Space Center - NASA Selects Doug Hurley for Commercial Crew_S4Hn5ags6ho - transcript (automated).pdf","Transcript Link")</f>
        <v>Transcript Link</v>
      </c>
      <c r="M907" s="2" t="str">
        <f>HYPERLINK("https://files.afu.se/Downloads/Transcripts/0%20-%20Government/USA%20-%20NASA%20Kennedy/2015 07 09 - NASA's Kennedy Space Center - NASA Selects Doug Hurley for Commercial Crew_S4Hn5ags6ho - transcript (automated).pdf","Transcript Link")</f>
        <v>Transcript Link</v>
      </c>
    </row>
    <row r="908" ht="225" spans="1:13">
      <c r="A908" s="1" t="s">
        <v>4207</v>
      </c>
      <c r="B908" s="1" t="s">
        <v>13</v>
      </c>
      <c r="C908" s="4" t="s">
        <v>4220</v>
      </c>
      <c r="D908" s="1" t="s">
        <v>4221</v>
      </c>
      <c r="E908" s="1" t="s">
        <v>4222</v>
      </c>
      <c r="F908" s="4" t="s">
        <v>17</v>
      </c>
      <c r="G908" s="1" t="s">
        <v>18</v>
      </c>
      <c r="H908" s="1" t="s">
        <v>19</v>
      </c>
      <c r="I908" s="1" t="s">
        <v>20</v>
      </c>
      <c r="J908" s="1" t="s">
        <v>4223</v>
      </c>
      <c r="K908" s="1" t="s">
        <v>22</v>
      </c>
      <c r="L908" s="1" t="str">
        <f>HYPERLINK("https://files.afu.se/Downloads/Transcripts/0%20-%20Government/USA%20-%20NASA%20Kennedy/2015 07 09 - NASA's Kennedy Space Center - NASA Selects Suni Williams for Commercial Crew_NOLY3qdW7Tc - transcript (automated).pdf","Transcript Link")</f>
        <v>Transcript Link</v>
      </c>
      <c r="M908" s="2" t="str">
        <f>HYPERLINK("https://files.afu.se/Downloads/Transcripts/0%20-%20Government/USA%20-%20NASA%20Kennedy/2015 07 09 - NASA's Kennedy Space Center - NASA Selects Suni Williams for Commercial Crew_NOLY3qdW7Tc - transcript (automated).pdf","Transcript Link")</f>
        <v>Transcript Link</v>
      </c>
    </row>
    <row r="909" ht="180" spans="1:13">
      <c r="A909" s="1" t="s">
        <v>4224</v>
      </c>
      <c r="B909" s="1" t="s">
        <v>13</v>
      </c>
      <c r="C909" s="4" t="s">
        <v>4225</v>
      </c>
      <c r="D909" s="1" t="s">
        <v>4226</v>
      </c>
      <c r="E909" s="1" t="s">
        <v>4227</v>
      </c>
      <c r="F909" s="4" t="s">
        <v>17</v>
      </c>
      <c r="G909" s="1" t="s">
        <v>18</v>
      </c>
      <c r="H909" s="1" t="s">
        <v>19</v>
      </c>
      <c r="I909" s="1" t="s">
        <v>20</v>
      </c>
      <c r="J909" s="1" t="s">
        <v>4228</v>
      </c>
      <c r="K909" s="1" t="s">
        <v>22</v>
      </c>
      <c r="L909" s="1" t="str">
        <f>HYPERLINK("https://files.afu.se/Downloads/Transcripts/0%20-%20Government/USA%20-%20NASA%20Kennedy/2015 06 28 - NASA's Kennedy Space Center - SpaceX CRS-7 Liftoff_efjf37ZPYz4 - transcript (automated).pdf","Transcript Link")</f>
        <v>Transcript Link</v>
      </c>
      <c r="M909" s="2" t="str">
        <f>HYPERLINK("https://files.afu.se/Downloads/Transcripts/0%20-%20Government/USA%20-%20NASA%20Kennedy/2015 06 28 - NASA's Kennedy Space Center - SpaceX CRS-7 Liftoff_efjf37ZPYz4 - transcript (automated).pdf","Transcript Link")</f>
        <v>Transcript Link</v>
      </c>
    </row>
    <row r="910" ht="180" spans="1:13">
      <c r="A910" s="1" t="s">
        <v>4224</v>
      </c>
      <c r="B910" s="1" t="s">
        <v>13</v>
      </c>
      <c r="C910" s="4" t="s">
        <v>4229</v>
      </c>
      <c r="D910" s="1" t="s">
        <v>4230</v>
      </c>
      <c r="E910" s="1" t="s">
        <v>4231</v>
      </c>
      <c r="F910" s="4" t="s">
        <v>17</v>
      </c>
      <c r="G910" s="1" t="s">
        <v>18</v>
      </c>
      <c r="H910" s="1" t="s">
        <v>19</v>
      </c>
      <c r="I910" s="1" t="s">
        <v>20</v>
      </c>
      <c r="J910" s="1" t="s">
        <v>4232</v>
      </c>
      <c r="K910" s="1" t="s">
        <v>22</v>
      </c>
      <c r="L910" s="1" t="str">
        <f>HYPERLINK("https://files.afu.se/Downloads/Transcripts/0%20-%20Government/USA%20-%20NASA%20Kennedy/2015 06 28 - NASA's Kennedy Space Center - SpaceX CRS-7 Falcon 9 Ready for Launch_vDKa4ut2kCs - transcript (automated).pdf","Transcript Link")</f>
        <v>Transcript Link</v>
      </c>
      <c r="M910" s="2" t="str">
        <f>HYPERLINK("https://files.afu.se/Downloads/Transcripts/0%20-%20Government/USA%20-%20NASA%20Kennedy/2015 06 28 - NASA's Kennedy Space Center - SpaceX CRS-7 Falcon 9 Ready for Launch_vDKa4ut2kCs - transcript (automated).pdf","Transcript Link")</f>
        <v>Transcript Link</v>
      </c>
    </row>
    <row r="911" ht="180" spans="1:13">
      <c r="A911" s="1" t="s">
        <v>4224</v>
      </c>
      <c r="B911" s="1" t="s">
        <v>13</v>
      </c>
      <c r="C911" s="4" t="s">
        <v>4233</v>
      </c>
      <c r="D911" s="1" t="s">
        <v>4234</v>
      </c>
      <c r="E911" s="1" t="s">
        <v>4231</v>
      </c>
      <c r="F911" s="4" t="s">
        <v>17</v>
      </c>
      <c r="G911" s="1" t="s">
        <v>18</v>
      </c>
      <c r="H911" s="1" t="s">
        <v>19</v>
      </c>
      <c r="I911" s="1" t="s">
        <v>20</v>
      </c>
      <c r="J911" s="1" t="s">
        <v>4235</v>
      </c>
      <c r="K911" s="1" t="s">
        <v>22</v>
      </c>
      <c r="L911" s="1" t="str">
        <f>HYPERLINK("https://files.afu.se/Downloads/Transcripts/0%20-%20Government/USA%20-%20NASA%20Kennedy/2015 06 28 - NASA's Kennedy Space Center - SpaceX CRS-7 Countdown Underway_sWU0R7ChCBY - transcript (automated).pdf","Transcript Link")</f>
        <v>Transcript Link</v>
      </c>
      <c r="M911" s="2" t="str">
        <f>HYPERLINK("https://files.afu.se/Downloads/Transcripts/0%20-%20Government/USA%20-%20NASA%20Kennedy/2015 06 28 - NASA's Kennedy Space Center - SpaceX CRS-7 Countdown Underway_sWU0R7ChCBY - transcript (automated).pdf","Transcript Link")</f>
        <v>Transcript Link</v>
      </c>
    </row>
    <row r="912" ht="180" spans="1:13">
      <c r="A912" s="1" t="s">
        <v>4236</v>
      </c>
      <c r="B912" s="1" t="s">
        <v>13</v>
      </c>
      <c r="C912" s="4" t="s">
        <v>4237</v>
      </c>
      <c r="D912" s="1" t="s">
        <v>4238</v>
      </c>
      <c r="E912" s="1" t="s">
        <v>4239</v>
      </c>
      <c r="F912" s="4" t="s">
        <v>17</v>
      </c>
      <c r="G912" s="1" t="s">
        <v>18</v>
      </c>
      <c r="H912" s="1" t="s">
        <v>19</v>
      </c>
      <c r="I912" s="1" t="s">
        <v>20</v>
      </c>
      <c r="J912" s="1" t="s">
        <v>4240</v>
      </c>
      <c r="K912" s="1" t="s">
        <v>22</v>
      </c>
      <c r="L912" s="1" t="str">
        <f>HYPERLINK("https://files.afu.se/Downloads/Transcripts/0%20-%20Government/USA%20-%20NASA%20Kennedy/2015 06 27 - NASA's Kennedy Space Center - 'Forever Remembered' - Families Discuss Memorial_h62PXxGEtpE - transcript (automated).pdf","Transcript Link")</f>
        <v>Transcript Link</v>
      </c>
      <c r="M912" s="2" t="str">
        <f>HYPERLINK("https://files.afu.se/Downloads/Transcripts/0%20-%20Government/USA%20-%20NASA%20Kennedy/2015 06 27 - NASA's Kennedy Space Center - 'Forever Remembered' - Families Discuss Memorial_h62PXxGEtpE - transcript (automated).pdf","Transcript Link")</f>
        <v>Transcript Link</v>
      </c>
    </row>
    <row r="913" ht="180" spans="1:13">
      <c r="A913" s="1" t="s">
        <v>4236</v>
      </c>
      <c r="B913" s="1" t="s">
        <v>13</v>
      </c>
      <c r="C913" s="4" t="s">
        <v>4241</v>
      </c>
      <c r="D913" s="1" t="s">
        <v>4242</v>
      </c>
      <c r="E913" s="1" t="s">
        <v>4243</v>
      </c>
      <c r="F913" s="4" t="s">
        <v>17</v>
      </c>
      <c r="G913" s="1" t="s">
        <v>18</v>
      </c>
      <c r="H913" s="1" t="s">
        <v>19</v>
      </c>
      <c r="I913" s="1" t="s">
        <v>20</v>
      </c>
      <c r="J913" s="1" t="s">
        <v>4244</v>
      </c>
      <c r="K913" s="1" t="s">
        <v>22</v>
      </c>
      <c r="L913" s="1" t="str">
        <f>HYPERLINK("https://files.afu.se/Downloads/Transcripts/0%20-%20Government/USA%20-%20NASA%20Kennedy/2015 06 27 - NASA's Kennedy Space Center - 'Forever Remembered' - Challenger and Columbia_my-D9yvBmbg - transcript (automated).pdf","Transcript Link")</f>
        <v>Transcript Link</v>
      </c>
      <c r="M913" s="2" t="str">
        <f>HYPERLINK("https://files.afu.se/Downloads/Transcripts/0%20-%20Government/USA%20-%20NASA%20Kennedy/2015 06 27 - NASA's Kennedy Space Center - 'Forever Remembered' - Challenger and Columbia_my-D9yvBmbg - transcript (automated).pdf","Transcript Link")</f>
        <v>Transcript Link</v>
      </c>
    </row>
    <row r="914" ht="180" spans="1:13">
      <c r="A914" s="1" t="s">
        <v>4236</v>
      </c>
      <c r="B914" s="1" t="s">
        <v>13</v>
      </c>
      <c r="C914" s="4" t="s">
        <v>4245</v>
      </c>
      <c r="D914" s="1" t="s">
        <v>4246</v>
      </c>
      <c r="E914" s="1" t="s">
        <v>4247</v>
      </c>
      <c r="F914" s="4" t="s">
        <v>17</v>
      </c>
      <c r="G914" s="1" t="s">
        <v>18</v>
      </c>
      <c r="H914" s="1" t="s">
        <v>19</v>
      </c>
      <c r="I914" s="1" t="s">
        <v>20</v>
      </c>
      <c r="J914" s="1" t="s">
        <v>4248</v>
      </c>
      <c r="K914" s="1" t="s">
        <v>22</v>
      </c>
      <c r="L914" s="1" t="str">
        <f>HYPERLINK("https://files.afu.se/Downloads/Transcripts/0%20-%20Government/USA%20-%20NASA%20Kennedy/2015 06 27 - NASA's Kennedy Space Center - 'Forever Remembered' Memorial at Kennedy Space Center_ihF8PES8O20 - transcript (automated).pdf","Transcript Link")</f>
        <v>Transcript Link</v>
      </c>
      <c r="M914" s="2" t="str">
        <f>HYPERLINK("https://files.afu.se/Downloads/Transcripts/0%20-%20Government/USA%20-%20NASA%20Kennedy/2015 06 27 - NASA's Kennedy Space Center - 'Forever Remembered' Memorial at Kennedy Space Center_ihF8PES8O20 - transcript (automated).pdf","Transcript Link")</f>
        <v>Transcript Link</v>
      </c>
    </row>
    <row r="915" ht="210" spans="1:13">
      <c r="A915" s="1" t="s">
        <v>4236</v>
      </c>
      <c r="B915" s="1" t="s">
        <v>13</v>
      </c>
      <c r="C915" s="4" t="s">
        <v>4249</v>
      </c>
      <c r="D915" s="1" t="s">
        <v>4250</v>
      </c>
      <c r="E915" s="1" t="s">
        <v>4251</v>
      </c>
      <c r="F915" s="4" t="s">
        <v>17</v>
      </c>
      <c r="G915" s="1" t="s">
        <v>18</v>
      </c>
      <c r="H915" s="1" t="s">
        <v>19</v>
      </c>
      <c r="I915" s="1" t="s">
        <v>20</v>
      </c>
      <c r="J915" s="1" t="s">
        <v>4252</v>
      </c>
      <c r="K915" s="1" t="s">
        <v>22</v>
      </c>
      <c r="L915" s="1" t="str">
        <f>HYPERLINK("https://files.afu.se/Downloads/Transcripts/0%20-%20Government/USA%20-%20NASA%20Kennedy/2015 06 27 - NASA's Kennedy Space Center - Opening of 'Forever Remembered' Memorial_WJ4joZSPNtg - transcript (automated).pdf","Transcript Link")</f>
        <v>Transcript Link</v>
      </c>
      <c r="M915" s="2" t="str">
        <f>HYPERLINK("https://files.afu.se/Downloads/Transcripts/0%20-%20Government/USA%20-%20NASA%20Kennedy/2015 06 27 - NASA's Kennedy Space Center - Opening of 'Forever Remembered' Memorial_WJ4joZSPNtg - transcript (automated).pdf","Transcript Link")</f>
        <v>Transcript Link</v>
      </c>
    </row>
    <row r="916" ht="180" spans="1:13">
      <c r="A916" s="1" t="s">
        <v>4253</v>
      </c>
      <c r="B916" s="1" t="s">
        <v>13</v>
      </c>
      <c r="C916" s="4" t="s">
        <v>4254</v>
      </c>
      <c r="D916" s="1" t="s">
        <v>4255</v>
      </c>
      <c r="E916" s="1" t="s">
        <v>4256</v>
      </c>
      <c r="F916" s="4" t="s">
        <v>17</v>
      </c>
      <c r="G916" s="1" t="s">
        <v>18</v>
      </c>
      <c r="H916" s="1" t="s">
        <v>19</v>
      </c>
      <c r="I916" s="1" t="s">
        <v>20</v>
      </c>
      <c r="J916" s="1" t="s">
        <v>4257</v>
      </c>
      <c r="K916" s="1" t="s">
        <v>22</v>
      </c>
      <c r="L916" s="1" t="str">
        <f>HYPERLINK("https://files.afu.se/Downloads/Transcripts/0%20-%20Government/USA%20-%20NASA%20Kennedy/2015 06 26 - NASA's Kennedy Space Center - Inside KSC! June 26, 2015_ymbByvEeBeQ - transcript (automated).pdf","Transcript Link")</f>
        <v>Transcript Link</v>
      </c>
      <c r="M916" s="2" t="str">
        <f>HYPERLINK("https://files.afu.se/Downloads/Transcripts/0%20-%20Government/USA%20-%20NASA%20Kennedy/2015 06 26 - NASA's Kennedy Space Center - Inside KSC! June 26, 2015_ymbByvEeBeQ - transcript (automated).pdf","Transcript Link")</f>
        <v>Transcript Link</v>
      </c>
    </row>
    <row r="917" ht="180" spans="1:13">
      <c r="A917" s="1" t="s">
        <v>4258</v>
      </c>
      <c r="B917" s="1" t="s">
        <v>13</v>
      </c>
      <c r="C917" s="4" t="s">
        <v>4259</v>
      </c>
      <c r="D917" s="1" t="s">
        <v>4260</v>
      </c>
      <c r="E917" s="1" t="s">
        <v>4261</v>
      </c>
      <c r="F917" s="4" t="s">
        <v>17</v>
      </c>
      <c r="G917" s="1" t="s">
        <v>18</v>
      </c>
      <c r="H917" s="1" t="s">
        <v>19</v>
      </c>
      <c r="I917" s="1" t="s">
        <v>20</v>
      </c>
      <c r="J917" s="1" t="s">
        <v>4262</v>
      </c>
      <c r="K917" s="1" t="s">
        <v>22</v>
      </c>
      <c r="L917" s="1" t="str">
        <f>HYPERLINK("https://files.afu.se/Downloads/Transcripts/0%20-%20Government/USA%20-%20NASA%20Kennedy/2015 06 25 - NASA's Kennedy Space Center - New Crew Access Tower Takes Shape at Cape_ehnh99dLxVg - transcript (automated).pdf","Transcript Link")</f>
        <v>Transcript Link</v>
      </c>
      <c r="M917" s="2" t="str">
        <f>HYPERLINK("https://files.afu.se/Downloads/Transcripts/0%20-%20Government/USA%20-%20NASA%20Kennedy/2015 06 25 - NASA's Kennedy Space Center - New Crew Access Tower Takes Shape at Cape_ehnh99dLxVg - transcript (automated).pdf","Transcript Link")</f>
        <v>Transcript Link</v>
      </c>
    </row>
    <row r="918" ht="180" spans="1:13">
      <c r="A918" s="1" t="s">
        <v>4263</v>
      </c>
      <c r="B918" s="1" t="s">
        <v>13</v>
      </c>
      <c r="C918" s="4" t="s">
        <v>4264</v>
      </c>
      <c r="D918" s="1" t="s">
        <v>4265</v>
      </c>
      <c r="E918" s="1" t="s">
        <v>4266</v>
      </c>
      <c r="F918" s="4" t="s">
        <v>17</v>
      </c>
      <c r="G918" s="1" t="s">
        <v>18</v>
      </c>
      <c r="H918" s="1" t="s">
        <v>19</v>
      </c>
      <c r="I918" s="1" t="s">
        <v>20</v>
      </c>
      <c r="J918" s="1" t="s">
        <v>4267</v>
      </c>
      <c r="K918" s="1" t="s">
        <v>22</v>
      </c>
      <c r="L918" s="1" t="str">
        <f>HYPERLINK("https://files.afu.se/Downloads/Transcripts/0%20-%20Government/USA%20-%20NASA%20Kennedy/2015 06 23 - NASA's Kennedy Space Center - Time-Lapse  Construction Begins on Kennedy Central Campus_x7IHtDLDEIE - transcript (automated).pdf","Transcript Link")</f>
        <v>Transcript Link</v>
      </c>
      <c r="M918" s="2" t="str">
        <f>HYPERLINK("https://files.afu.se/Downloads/Transcripts/0%20-%20Government/USA%20-%20NASA%20Kennedy/2015 06 23 - NASA's Kennedy Space Center - Time-Lapse  Construction Begins on Kennedy Central Campus_x7IHtDLDEIE - transcript (automated).pdf","Transcript Link")</f>
        <v>Transcript Link</v>
      </c>
    </row>
    <row r="919" ht="180" spans="1:13">
      <c r="A919" s="1" t="s">
        <v>4268</v>
      </c>
      <c r="B919" s="1" t="s">
        <v>13</v>
      </c>
      <c r="C919" s="4" t="s">
        <v>4269</v>
      </c>
      <c r="D919" s="1" t="s">
        <v>4270</v>
      </c>
      <c r="E919" s="1" t="s">
        <v>4271</v>
      </c>
      <c r="F919" s="4" t="s">
        <v>17</v>
      </c>
      <c r="G919" s="1" t="s">
        <v>18</v>
      </c>
      <c r="H919" s="1" t="s">
        <v>19</v>
      </c>
      <c r="I919" s="1" t="s">
        <v>20</v>
      </c>
      <c r="J919" s="1" t="s">
        <v>4272</v>
      </c>
      <c r="K919" s="1" t="s">
        <v>22</v>
      </c>
      <c r="L919" s="1" t="str">
        <f>HYPERLINK("https://files.afu.se/Downloads/Transcripts/0%20-%20Government/USA%20-%20NASA%20Kennedy/2015 06 19 - NASA's Kennedy Space Center - Inside KSC - Tribute to Jack King_B-5CffGXFlo - transcript (automated).pdf","Transcript Link")</f>
        <v>Transcript Link</v>
      </c>
      <c r="M919" s="2" t="str">
        <f>HYPERLINK("https://files.afu.se/Downloads/Transcripts/0%20-%20Government/USA%20-%20NASA%20Kennedy/2015 06 19 - NASA's Kennedy Space Center - Inside KSC - Tribute to Jack King_B-5CffGXFlo - transcript (automated).pdf","Transcript Link")</f>
        <v>Transcript Link</v>
      </c>
    </row>
    <row r="920" ht="180" spans="1:13">
      <c r="A920" s="1" t="s">
        <v>4273</v>
      </c>
      <c r="B920" s="1" t="s">
        <v>13</v>
      </c>
      <c r="C920" s="4" t="s">
        <v>4274</v>
      </c>
      <c r="D920" s="1" t="s">
        <v>4275</v>
      </c>
      <c r="E920" s="1" t="s">
        <v>4276</v>
      </c>
      <c r="F920" s="4" t="s">
        <v>17</v>
      </c>
      <c r="G920" s="1" t="s">
        <v>18</v>
      </c>
      <c r="H920" s="1" t="s">
        <v>19</v>
      </c>
      <c r="I920" s="1" t="s">
        <v>20</v>
      </c>
      <c r="J920" s="1" t="s">
        <v>4277</v>
      </c>
      <c r="K920" s="1" t="s">
        <v>22</v>
      </c>
      <c r="L920" s="1" t="str">
        <f>HYPERLINK("https://files.afu.se/Downloads/Transcripts/0%20-%20Government/USA%20-%20NASA%20Kennedy/2015 06 18 - NASA's Kennedy Space Center - MRAP Rolls Through Commercial Crew Testing_aUMXCZVmL0Q - transcript (automated).pdf","Transcript Link")</f>
        <v>Transcript Link</v>
      </c>
      <c r="M920" s="2" t="str">
        <f>HYPERLINK("https://files.afu.se/Downloads/Transcripts/0%20-%20Government/USA%20-%20NASA%20Kennedy/2015 06 18 - NASA's Kennedy Space Center - MRAP Rolls Through Commercial Crew Testing_aUMXCZVmL0Q - transcript (automated).pdf","Transcript Link")</f>
        <v>Transcript Link</v>
      </c>
    </row>
    <row r="921" ht="180" spans="1:13">
      <c r="A921" s="1" t="s">
        <v>4278</v>
      </c>
      <c r="B921" s="1" t="s">
        <v>13</v>
      </c>
      <c r="C921" s="4" t="s">
        <v>4279</v>
      </c>
      <c r="D921" s="1" t="s">
        <v>4280</v>
      </c>
      <c r="E921" s="1" t="s">
        <v>4281</v>
      </c>
      <c r="F921" s="4" t="s">
        <v>17</v>
      </c>
      <c r="G921" s="1" t="s">
        <v>18</v>
      </c>
      <c r="H921" s="1" t="s">
        <v>19</v>
      </c>
      <c r="I921" s="1" t="s">
        <v>20</v>
      </c>
      <c r="J921" s="1" t="s">
        <v>4282</v>
      </c>
      <c r="K921" s="1" t="s">
        <v>22</v>
      </c>
      <c r="L921" s="1" t="str">
        <f>HYPERLINK("https://files.afu.se/Downloads/Transcripts/0%20-%20Government/USA%20-%20NASA%20Kennedy/2015 06 12 - NASA's Kennedy Space Center - Human Space Exploration in the 21st Century_kImDl0IafSI - transcript (automated).pdf","Transcript Link")</f>
        <v>Transcript Link</v>
      </c>
      <c r="M921" s="2" t="str">
        <f>HYPERLINK("https://files.afu.se/Downloads/Transcripts/0%20-%20Government/USA%20-%20NASA%20Kennedy/2015 06 12 - NASA's Kennedy Space Center - Human Space Exploration in the 21st Century_kImDl0IafSI - transcript (automated).pdf","Transcript Link")</f>
        <v>Transcript Link</v>
      </c>
    </row>
    <row r="922" ht="180" spans="1:13">
      <c r="A922" s="1" t="s">
        <v>4278</v>
      </c>
      <c r="B922" s="1" t="s">
        <v>13</v>
      </c>
      <c r="C922" s="4" t="s">
        <v>4283</v>
      </c>
      <c r="D922" s="1" t="s">
        <v>4284</v>
      </c>
      <c r="E922" s="1" t="s">
        <v>4285</v>
      </c>
      <c r="F922" s="4" t="s">
        <v>17</v>
      </c>
      <c r="G922" s="1" t="s">
        <v>18</v>
      </c>
      <c r="H922" s="1" t="s">
        <v>19</v>
      </c>
      <c r="I922" s="1" t="s">
        <v>20</v>
      </c>
      <c r="J922" s="1" t="s">
        <v>4286</v>
      </c>
      <c r="K922" s="1" t="s">
        <v>22</v>
      </c>
      <c r="L922" s="1" t="str">
        <f>HYPERLINK("https://files.afu.se/Downloads/Transcripts/0%20-%20Government/USA%20-%20NASA%20Kennedy/2015 06 12 - NASA's Kennedy Space Center - Inside KSC! June 12, 2015_LNI9Lc_E7ak - transcript (automated).pdf","Transcript Link")</f>
        <v>Transcript Link</v>
      </c>
      <c r="M922" s="2" t="str">
        <f>HYPERLINK("https://files.afu.se/Downloads/Transcripts/0%20-%20Government/USA%20-%20NASA%20Kennedy/2015 06 12 - NASA's Kennedy Space Center - Inside KSC! June 12, 2015_LNI9Lc_E7ak - transcript (automated).pdf","Transcript Link")</f>
        <v>Transcript Link</v>
      </c>
    </row>
    <row r="923" ht="180" spans="1:13">
      <c r="A923" s="1" t="s">
        <v>4278</v>
      </c>
      <c r="B923" s="1" t="s">
        <v>13</v>
      </c>
      <c r="C923" s="4" t="s">
        <v>4287</v>
      </c>
      <c r="D923" s="1" t="s">
        <v>4288</v>
      </c>
      <c r="E923" s="1" t="s">
        <v>4289</v>
      </c>
      <c r="F923" s="4" t="s">
        <v>17</v>
      </c>
      <c r="G923" s="1" t="s">
        <v>18</v>
      </c>
      <c r="H923" s="1" t="s">
        <v>19</v>
      </c>
      <c r="I923" s="1" t="s">
        <v>20</v>
      </c>
      <c r="J923" s="1" t="s">
        <v>4290</v>
      </c>
      <c r="K923" s="1" t="s">
        <v>22</v>
      </c>
      <c r="L923" s="1" t="str">
        <f>HYPERLINK("https://files.afu.se/Downloads/Transcripts/0%20-%20Government/USA%20-%20NASA%20Kennedy/2015 06 12 - NASA's Kennedy Space Center - Jack King's Apollo 11 Launch Commentary_o4OBKOlgmfo - transcript (automated).pdf","Transcript Link")</f>
        <v>Transcript Link</v>
      </c>
      <c r="M923" s="2" t="str">
        <f>HYPERLINK("https://files.afu.se/Downloads/Transcripts/0%20-%20Government/USA%20-%20NASA%20Kennedy/2015 06 12 - NASA's Kennedy Space Center - Jack King's Apollo 11 Launch Commentary_o4OBKOlgmfo - transcript (automated).pdf","Transcript Link")</f>
        <v>Transcript Link</v>
      </c>
    </row>
    <row r="924" ht="180" spans="1:13">
      <c r="A924" s="1" t="s">
        <v>4291</v>
      </c>
      <c r="B924" s="1" t="s">
        <v>13</v>
      </c>
      <c r="C924" s="4" t="s">
        <v>4292</v>
      </c>
      <c r="D924" s="1" t="s">
        <v>4293</v>
      </c>
      <c r="E924" s="1" t="s">
        <v>4294</v>
      </c>
      <c r="F924" s="4" t="s">
        <v>17</v>
      </c>
      <c r="G924" s="1" t="s">
        <v>18</v>
      </c>
      <c r="H924" s="1" t="s">
        <v>19</v>
      </c>
      <c r="I924" s="1" t="s">
        <v>20</v>
      </c>
      <c r="J924" s="1" t="s">
        <v>4295</v>
      </c>
      <c r="K924" s="1" t="s">
        <v>22</v>
      </c>
      <c r="L924" s="1" t="str">
        <f>HYPERLINK("https://files.afu.se/Downloads/Transcripts/0%20-%20Government/USA%20-%20NASA%20Kennedy/2015 06 05 - NASA's Kennedy Space Center - NASA's Robotic Mining Competition Wraps Up at Kennedy Space Center_5gLfrTCk8XU - transcript (automated).pdf","Transcript Link")</f>
        <v>Transcript Link</v>
      </c>
      <c r="M924" s="2" t="str">
        <f>HYPERLINK("https://files.afu.se/Downloads/Transcripts/0%20-%20Government/USA%20-%20NASA%20Kennedy/2015 06 05 - NASA's Kennedy Space Center - NASA's Robotic Mining Competition Wraps Up at Kennedy Space Center_5gLfrTCk8XU - transcript (automated).pdf","Transcript Link")</f>
        <v>Transcript Link</v>
      </c>
    </row>
    <row r="925" ht="180" spans="1:13">
      <c r="A925" s="1" t="s">
        <v>4291</v>
      </c>
      <c r="B925" s="1" t="s">
        <v>13</v>
      </c>
      <c r="C925" s="4" t="s">
        <v>4296</v>
      </c>
      <c r="D925" s="1" t="s">
        <v>4297</v>
      </c>
      <c r="E925" s="1" t="s">
        <v>4298</v>
      </c>
      <c r="F925" s="4" t="s">
        <v>17</v>
      </c>
      <c r="G925" s="1" t="s">
        <v>18</v>
      </c>
      <c r="H925" s="1" t="s">
        <v>19</v>
      </c>
      <c r="I925" s="1" t="s">
        <v>20</v>
      </c>
      <c r="J925" s="1" t="s">
        <v>4299</v>
      </c>
      <c r="K925" s="1" t="s">
        <v>22</v>
      </c>
      <c r="L925" s="1" t="str">
        <f>HYPERLINK("https://files.afu.se/Downloads/Transcripts/0%20-%20Government/USA%20-%20NASA%20Kennedy/2015 06 05 - NASA's Kennedy Space Center - Inside KSC! June 5, 2015_c3OUi8uuRKs - transcript (automated).pdf","Transcript Link")</f>
        <v>Transcript Link</v>
      </c>
      <c r="M925" s="2" t="str">
        <f>HYPERLINK("https://files.afu.se/Downloads/Transcripts/0%20-%20Government/USA%20-%20NASA%20Kennedy/2015 06 05 - NASA's Kennedy Space Center - Inside KSC! June 5, 2015_c3OUi8uuRKs - transcript (automated).pdf","Transcript Link")</f>
        <v>Transcript Link</v>
      </c>
    </row>
    <row r="926" ht="180" spans="1:13">
      <c r="A926" s="1" t="s">
        <v>4300</v>
      </c>
      <c r="B926" s="1" t="s">
        <v>13</v>
      </c>
      <c r="C926" s="4" t="s">
        <v>4301</v>
      </c>
      <c r="D926" s="1" t="s">
        <v>4302</v>
      </c>
      <c r="E926" s="1" t="s">
        <v>4303</v>
      </c>
      <c r="F926" s="4" t="s">
        <v>17</v>
      </c>
      <c r="G926" s="1" t="s">
        <v>18</v>
      </c>
      <c r="H926" s="1" t="s">
        <v>19</v>
      </c>
      <c r="I926" s="1" t="s">
        <v>20</v>
      </c>
      <c r="J926" s="1" t="s">
        <v>4304</v>
      </c>
      <c r="K926" s="1" t="s">
        <v>22</v>
      </c>
      <c r="L926" s="1" t="str">
        <f>HYPERLINK("https://files.afu.se/Downloads/Transcripts/0%20-%20Government/USA%20-%20NASA%20Kennedy/2015 06 03 - NASA's Kennedy Space Center - Dhani Jones  50 Years of NASA Spacewalks and #JourneyToMars_9CBU_wzHWWI - transcript (automated).pdf","Transcript Link")</f>
        <v>Transcript Link</v>
      </c>
      <c r="M926" s="2" t="str">
        <f>HYPERLINK("https://files.afu.se/Downloads/Transcripts/0%20-%20Government/USA%20-%20NASA%20Kennedy/2015 06 03 - NASA's Kennedy Space Center - Dhani Jones  50 Years of NASA Spacewalks and #JourneyToMars_9CBU_wzHWWI - transcript (automated).pdf","Transcript Link")</f>
        <v>Transcript Link</v>
      </c>
    </row>
    <row r="927" ht="180" spans="1:13">
      <c r="A927" s="1" t="s">
        <v>4305</v>
      </c>
      <c r="B927" s="1" t="s">
        <v>13</v>
      </c>
      <c r="C927" s="4" t="s">
        <v>4306</v>
      </c>
      <c r="D927" s="1" t="s">
        <v>4307</v>
      </c>
      <c r="E927" s="1" t="s">
        <v>4308</v>
      </c>
      <c r="F927" s="4" t="s">
        <v>17</v>
      </c>
      <c r="G927" s="1" t="s">
        <v>18</v>
      </c>
      <c r="H927" s="1" t="s">
        <v>19</v>
      </c>
      <c r="I927" s="1" t="s">
        <v>20</v>
      </c>
      <c r="J927" s="1" t="s">
        <v>4309</v>
      </c>
      <c r="K927" s="1" t="s">
        <v>22</v>
      </c>
      <c r="L927" s="1" t="str">
        <f>HYPERLINK("https://files.afu.se/Downloads/Transcripts/0%20-%20Government/USA%20-%20NASA%20Kennedy/2015 06 01 - NASA's Kennedy Space Center - DART Air Data has Interplanetary Potential_ArkuFW-2JR4 - transcript (automated).pdf","Transcript Link")</f>
        <v>Transcript Link</v>
      </c>
      <c r="M927" s="2" t="str">
        <f>HYPERLINK("https://files.afu.se/Downloads/Transcripts/0%20-%20Government/USA%20-%20NASA%20Kennedy/2015 06 01 - NASA's Kennedy Space Center - DART Air Data has Interplanetary Potential_ArkuFW-2JR4 - transcript (automated).pdf","Transcript Link")</f>
        <v>Transcript Link</v>
      </c>
    </row>
    <row r="928" ht="180" spans="1:13">
      <c r="A928" s="1" t="s">
        <v>4310</v>
      </c>
      <c r="B928" s="1" t="s">
        <v>13</v>
      </c>
      <c r="C928" s="4" t="s">
        <v>4311</v>
      </c>
      <c r="D928" s="1" t="s">
        <v>4312</v>
      </c>
      <c r="E928" s="1" t="s">
        <v>4313</v>
      </c>
      <c r="F928" s="4" t="s">
        <v>17</v>
      </c>
      <c r="G928" s="1" t="s">
        <v>18</v>
      </c>
      <c r="H928" s="1" t="s">
        <v>19</v>
      </c>
      <c r="I928" s="1" t="s">
        <v>20</v>
      </c>
      <c r="J928" s="1" t="s">
        <v>4314</v>
      </c>
      <c r="K928" s="1" t="s">
        <v>22</v>
      </c>
      <c r="L928" s="1" t="str">
        <f>HYPERLINK("https://files.afu.se/Downloads/Transcripts/0%20-%20Government/USA%20-%20NASA%20Kennedy/2015 05 28 - NASA's Kennedy Space Center - LSP Earth's Bridge to Space_V0cozFTLmb4 - transcript (automated).pdf","Transcript Link")</f>
        <v>Transcript Link</v>
      </c>
      <c r="M928" s="2" t="str">
        <f>HYPERLINK("https://files.afu.se/Downloads/Transcripts/0%20-%20Government/USA%20-%20NASA%20Kennedy/2015 05 28 - NASA's Kennedy Space Center - LSP Earth's Bridge to Space_V0cozFTLmb4 - transcript (automated).pdf","Transcript Link")</f>
        <v>Transcript Link</v>
      </c>
    </row>
    <row r="929" ht="180" spans="1:13">
      <c r="A929" s="1" t="s">
        <v>4310</v>
      </c>
      <c r="B929" s="1" t="s">
        <v>13</v>
      </c>
      <c r="C929" s="4" t="s">
        <v>4315</v>
      </c>
      <c r="D929" s="1" t="s">
        <v>4316</v>
      </c>
      <c r="E929" s="1" t="s">
        <v>4317</v>
      </c>
      <c r="F929" s="4" t="s">
        <v>17</v>
      </c>
      <c r="G929" s="1" t="s">
        <v>18</v>
      </c>
      <c r="H929" s="1" t="s">
        <v>19</v>
      </c>
      <c r="I929" s="1" t="s">
        <v>20</v>
      </c>
      <c r="J929" s="1" t="s">
        <v>4318</v>
      </c>
      <c r="K929" s="1" t="s">
        <v>22</v>
      </c>
      <c r="L929" s="1" t="str">
        <f>HYPERLINK("https://files.afu.se/Downloads/Transcripts/0%20-%20Government/USA%20-%20NASA%20Kennedy/2015 05 28 - NASA's Kennedy Space Center - Inside KSC! May 29, 2015_KczNvC82Z9A - transcript (automated).pdf","Transcript Link")</f>
        <v>Transcript Link</v>
      </c>
      <c r="M929" s="2" t="str">
        <f>HYPERLINK("https://files.afu.se/Downloads/Transcripts/0%20-%20Government/USA%20-%20NASA%20Kennedy/2015 05 28 - NASA's Kennedy Space Center - Inside KSC! May 29, 2015_KczNvC82Z9A - transcript (automated).pdf","Transcript Link")</f>
        <v>Transcript Link</v>
      </c>
    </row>
    <row r="930" ht="180" spans="1:13">
      <c r="A930" s="1" t="s">
        <v>4319</v>
      </c>
      <c r="B930" s="1" t="s">
        <v>13</v>
      </c>
      <c r="C930" s="4" t="s">
        <v>4320</v>
      </c>
      <c r="D930" s="1" t="s">
        <v>4321</v>
      </c>
      <c r="E930" s="1" t="s">
        <v>4322</v>
      </c>
      <c r="F930" s="4" t="s">
        <v>17</v>
      </c>
      <c r="G930" s="1" t="s">
        <v>18</v>
      </c>
      <c r="H930" s="1" t="s">
        <v>19</v>
      </c>
      <c r="I930" s="1" t="s">
        <v>20</v>
      </c>
      <c r="J930" s="1" t="s">
        <v>4323</v>
      </c>
      <c r="K930" s="1" t="s">
        <v>22</v>
      </c>
      <c r="L930" s="1" t="str">
        <f>HYPERLINK("https://files.afu.se/Downloads/Transcripts/0%20-%20Government/USA%20-%20NASA%20Kennedy/2015 05 22 - NASA's Kennedy Space Center - Inside KSC! May 22, 2015_yxYoo62Vq6M - transcript (automated).pdf","Transcript Link")</f>
        <v>Transcript Link</v>
      </c>
      <c r="M930" s="2" t="str">
        <f>HYPERLINK("https://files.afu.se/Downloads/Transcripts/0%20-%20Government/USA%20-%20NASA%20Kennedy/2015 05 22 - NASA's Kennedy Space Center - Inside KSC! May 22, 2015_yxYoo62Vq6M - transcript (automated).pdf","Transcript Link")</f>
        <v>Transcript Link</v>
      </c>
    </row>
    <row r="931" ht="180" spans="1:13">
      <c r="A931" s="1" t="s">
        <v>4324</v>
      </c>
      <c r="B931" s="1" t="s">
        <v>13</v>
      </c>
      <c r="C931" s="4" t="s">
        <v>4325</v>
      </c>
      <c r="D931" s="1" t="s">
        <v>4326</v>
      </c>
      <c r="E931" s="1" t="s">
        <v>4327</v>
      </c>
      <c r="F931" s="4" t="s">
        <v>17</v>
      </c>
      <c r="G931" s="1" t="s">
        <v>18</v>
      </c>
      <c r="H931" s="1" t="s">
        <v>19</v>
      </c>
      <c r="I931" s="1" t="s">
        <v>20</v>
      </c>
      <c r="J931" s="1" t="s">
        <v>4328</v>
      </c>
      <c r="K931" s="1" t="s">
        <v>22</v>
      </c>
      <c r="L931" s="1" t="str">
        <f>HYPERLINK("https://files.afu.se/Downloads/Transcripts/0%20-%20Government/USA%20-%20NASA%20Kennedy/2015 05 19 - NASA's Kennedy Space Center - 2015 Robotics Mining Competition - Day 1_O3Lj_ubfO5w - transcript (automated).pdf","Transcript Link")</f>
        <v>Transcript Link</v>
      </c>
      <c r="M931" s="2" t="str">
        <f>HYPERLINK("https://files.afu.se/Downloads/Transcripts/0%20-%20Government/USA%20-%20NASA%20Kennedy/2015 05 19 - NASA's Kennedy Space Center - 2015 Robotics Mining Competition - Day 1_O3Lj_ubfO5w - transcript (automated).pdf","Transcript Link")</f>
        <v>Transcript Link</v>
      </c>
    </row>
    <row r="932" ht="180" spans="1:13">
      <c r="A932" s="1" t="s">
        <v>4329</v>
      </c>
      <c r="B932" s="1" t="s">
        <v>13</v>
      </c>
      <c r="C932" s="4" t="s">
        <v>4330</v>
      </c>
      <c r="D932" s="1" t="s">
        <v>4331</v>
      </c>
      <c r="E932" s="1" t="s">
        <v>4332</v>
      </c>
      <c r="F932" s="4" t="s">
        <v>17</v>
      </c>
      <c r="G932" s="1" t="s">
        <v>18</v>
      </c>
      <c r="H932" s="1" t="s">
        <v>19</v>
      </c>
      <c r="I932" s="1" t="s">
        <v>20</v>
      </c>
      <c r="J932" s="1" t="s">
        <v>4333</v>
      </c>
      <c r="K932" s="1" t="s">
        <v>22</v>
      </c>
      <c r="L932" s="1" t="str">
        <f>HYPERLINK("https://files.afu.se/Downloads/Transcripts/0%20-%20Government/USA%20-%20NASA%20Kennedy/2015 05 15 - NASA's Kennedy Space Center - Inside KSC! May 15, 2015_0Z_SlfPgCvw - transcript (automated).pdf","Transcript Link")</f>
        <v>Transcript Link</v>
      </c>
      <c r="M932" s="2" t="str">
        <f>HYPERLINK("https://files.afu.se/Downloads/Transcripts/0%20-%20Government/USA%20-%20NASA%20Kennedy/2015 05 15 - NASA's Kennedy Space Center - Inside KSC! May 15, 2015_0Z_SlfPgCvw - transcript (automated).pdf","Transcript Link")</f>
        <v>Transcript Link</v>
      </c>
    </row>
    <row r="933" ht="180" spans="1:13">
      <c r="A933" s="1" t="s">
        <v>4334</v>
      </c>
      <c r="B933" s="1" t="s">
        <v>13</v>
      </c>
      <c r="C933" s="4" t="s">
        <v>4335</v>
      </c>
      <c r="D933" s="1" t="s">
        <v>4336</v>
      </c>
      <c r="E933" s="1" t="s">
        <v>4337</v>
      </c>
      <c r="F933" s="4" t="s">
        <v>17</v>
      </c>
      <c r="G933" s="1" t="s">
        <v>18</v>
      </c>
      <c r="H933" s="1" t="s">
        <v>19</v>
      </c>
      <c r="I933" s="1" t="s">
        <v>20</v>
      </c>
      <c r="J933" s="1" t="s">
        <v>4338</v>
      </c>
      <c r="K933" s="1" t="s">
        <v>22</v>
      </c>
      <c r="L933" s="1" t="str">
        <f>HYPERLINK("https://files.afu.se/Downloads/Transcripts/0%20-%20Government/USA%20-%20NASA%20Kennedy/2015 05 08 - NASA's Kennedy Space Center - Inside KSC! May 8, 2015_0DMTjfHyGxU - transcript (automated).pdf","Transcript Link")</f>
        <v>Transcript Link</v>
      </c>
      <c r="M933" s="2" t="str">
        <f>HYPERLINK("https://files.afu.se/Downloads/Transcripts/0%20-%20Government/USA%20-%20NASA%20Kennedy/2015 05 08 - NASA's Kennedy Space Center - Inside KSC! May 8, 2015_0DMTjfHyGxU - transcript (automated).pdf","Transcript Link")</f>
        <v>Transcript Link</v>
      </c>
    </row>
    <row r="934" ht="180" spans="1:13">
      <c r="A934" s="1" t="s">
        <v>4339</v>
      </c>
      <c r="B934" s="1" t="s">
        <v>13</v>
      </c>
      <c r="C934" s="4" t="s">
        <v>4340</v>
      </c>
      <c r="D934" s="1" t="s">
        <v>4341</v>
      </c>
      <c r="E934" s="1" t="s">
        <v>4342</v>
      </c>
      <c r="F934" s="4" t="s">
        <v>17</v>
      </c>
      <c r="G934" s="1" t="s">
        <v>18</v>
      </c>
      <c r="H934" s="1" t="s">
        <v>19</v>
      </c>
      <c r="I934" s="1" t="s">
        <v>20</v>
      </c>
      <c r="J934" s="1" t="s">
        <v>4343</v>
      </c>
      <c r="K934" s="1" t="s">
        <v>22</v>
      </c>
      <c r="L934" s="1" t="str">
        <f>HYPERLINK("https://files.afu.se/Downloads/Transcripts/0%20-%20Government/USA%20-%20NASA%20Kennedy/2015 05 06 - NASA's Kennedy Space Center - SpaceX Crew Dragon Conducts Unique Flight Test_dsg6WR4BWhw - transcript (automated).pdf","Transcript Link")</f>
        <v>Transcript Link</v>
      </c>
      <c r="M934" s="2" t="str">
        <f>HYPERLINK("https://files.afu.se/Downloads/Transcripts/0%20-%20Government/USA%20-%20NASA%20Kennedy/2015 05 06 - NASA's Kennedy Space Center - SpaceX Crew Dragon Conducts Unique Flight Test_dsg6WR4BWhw - transcript (automated).pdf","Transcript Link")</f>
        <v>Transcript Link</v>
      </c>
    </row>
    <row r="935" ht="180" spans="1:13">
      <c r="A935" s="1" t="s">
        <v>4339</v>
      </c>
      <c r="B935" s="1" t="s">
        <v>13</v>
      </c>
      <c r="C935" s="4" t="s">
        <v>4344</v>
      </c>
      <c r="D935" s="1" t="s">
        <v>4345</v>
      </c>
      <c r="E935" s="1" t="s">
        <v>4346</v>
      </c>
      <c r="F935" s="4" t="s">
        <v>17</v>
      </c>
      <c r="G935" s="1" t="s">
        <v>18</v>
      </c>
      <c r="H935" s="1" t="s">
        <v>19</v>
      </c>
      <c r="I935" s="1" t="s">
        <v>20</v>
      </c>
      <c r="J935" s="1" t="s">
        <v>4347</v>
      </c>
      <c r="K935" s="1" t="s">
        <v>22</v>
      </c>
      <c r="L935" s="1" t="str">
        <f>HYPERLINK("https://files.afu.se/Downloads/Transcripts/0%20-%20Government/USA%20-%20NASA%20Kennedy/2015 05 06 - NASA's Kennedy Space Center - SpaceX Pad Abort Go No Go Poll_d19WEJqt008 - transcript (automated).pdf","Transcript Link")</f>
        <v>Transcript Link</v>
      </c>
      <c r="M935" s="2" t="str">
        <f>HYPERLINK("https://files.afu.se/Downloads/Transcripts/0%20-%20Government/USA%20-%20NASA%20Kennedy/2015 05 06 - NASA's Kennedy Space Center - SpaceX Pad Abort Go No Go Poll_d19WEJqt008 - transcript (automated).pdf","Transcript Link")</f>
        <v>Transcript Link</v>
      </c>
    </row>
    <row r="936" ht="180" spans="1:13">
      <c r="A936" s="1" t="s">
        <v>4339</v>
      </c>
      <c r="B936" s="1" t="s">
        <v>13</v>
      </c>
      <c r="C936" s="4" t="s">
        <v>4348</v>
      </c>
      <c r="D936" s="1" t="s">
        <v>4349</v>
      </c>
      <c r="E936" s="1" t="s">
        <v>4350</v>
      </c>
      <c r="F936" s="4" t="s">
        <v>17</v>
      </c>
      <c r="G936" s="1" t="s">
        <v>18</v>
      </c>
      <c r="H936" s="1" t="s">
        <v>19</v>
      </c>
      <c r="I936" s="1" t="s">
        <v>20</v>
      </c>
      <c r="J936" s="1" t="s">
        <v>4351</v>
      </c>
      <c r="K936" s="1" t="s">
        <v>22</v>
      </c>
      <c r="L936" s="1" t="str">
        <f>HYPERLINK("https://files.afu.se/Downloads/Transcripts/0%20-%20Government/USA%20-%20NASA%20Kennedy/2015 05 06 - NASA's Kennedy Space Center - SpaceX Pad Abort Test Coverage Begins__ayXPlsQf6M - transcript (automated).pdf","Transcript Link")</f>
        <v>Transcript Link</v>
      </c>
      <c r="M936" s="2" t="str">
        <f>HYPERLINK("https://files.afu.se/Downloads/Transcripts/0%20-%20Government/USA%20-%20NASA%20Kennedy/2015 05 06 - NASA's Kennedy Space Center - SpaceX Pad Abort Test Coverage Begins__ayXPlsQf6M - transcript (automated).pdf","Transcript Link")</f>
        <v>Transcript Link</v>
      </c>
    </row>
    <row r="937" ht="180" spans="1:13">
      <c r="A937" s="1" t="s">
        <v>4339</v>
      </c>
      <c r="B937" s="1" t="s">
        <v>13</v>
      </c>
      <c r="C937" s="4" t="s">
        <v>4352</v>
      </c>
      <c r="D937" s="1" t="s">
        <v>4353</v>
      </c>
      <c r="E937" s="1" t="s">
        <v>4354</v>
      </c>
      <c r="F937" s="4" t="s">
        <v>17</v>
      </c>
      <c r="G937" s="1" t="s">
        <v>18</v>
      </c>
      <c r="H937" s="1" t="s">
        <v>19</v>
      </c>
      <c r="I937" s="1" t="s">
        <v>20</v>
      </c>
      <c r="J937" s="1" t="s">
        <v>4355</v>
      </c>
      <c r="K937" s="1" t="s">
        <v>22</v>
      </c>
      <c r="L937" s="1" t="str">
        <f>HYPERLINK("https://files.afu.se/Downloads/Transcripts/0%20-%20Government/USA%20-%20NASA%20Kennedy/2015 05 06 - NASA's Kennedy Space Center - SpaceX Crew Dragon Flies in Pad Abort Test_FRqLNdwsPBM - transcript (automated).pdf","Transcript Link")</f>
        <v>Transcript Link</v>
      </c>
      <c r="M937" s="2" t="str">
        <f>HYPERLINK("https://files.afu.se/Downloads/Transcripts/0%20-%20Government/USA%20-%20NASA%20Kennedy/2015 05 06 - NASA's Kennedy Space Center - SpaceX Crew Dragon Flies in Pad Abort Test_FRqLNdwsPBM - transcript (automated).pdf","Transcript Link")</f>
        <v>Transcript Link</v>
      </c>
    </row>
    <row r="938" ht="180" spans="1:13">
      <c r="A938" s="1" t="s">
        <v>4356</v>
      </c>
      <c r="B938" s="1" t="s">
        <v>13</v>
      </c>
      <c r="C938" s="4" t="s">
        <v>4357</v>
      </c>
      <c r="D938" s="1" t="s">
        <v>4358</v>
      </c>
      <c r="E938" s="1" t="s">
        <v>4359</v>
      </c>
      <c r="F938" s="4" t="s">
        <v>17</v>
      </c>
      <c r="G938" s="1" t="s">
        <v>18</v>
      </c>
      <c r="H938" s="1" t="s">
        <v>19</v>
      </c>
      <c r="I938" s="1" t="s">
        <v>20</v>
      </c>
      <c r="J938" s="1" t="s">
        <v>4360</v>
      </c>
      <c r="K938" s="1" t="s">
        <v>22</v>
      </c>
      <c r="L938" s="1" t="str">
        <f>HYPERLINK("https://files.afu.se/Downloads/Transcripts/0%20-%20Government/USA%20-%20NASA%20Kennedy/2015 04 30 - NASA's Kennedy Space Center - Inside KSC! May 1, 2015_PFgOXMrm2mQ - transcript (automated).pdf","Transcript Link")</f>
        <v>Transcript Link</v>
      </c>
      <c r="M938" s="2" t="str">
        <f>HYPERLINK("https://files.afu.se/Downloads/Transcripts/0%20-%20Government/USA%20-%20NASA%20Kennedy/2015 04 30 - NASA's Kennedy Space Center - Inside KSC! May 1, 2015_PFgOXMrm2mQ - transcript (automated).pdf","Transcript Link")</f>
        <v>Transcript Link</v>
      </c>
    </row>
    <row r="939" ht="195" spans="1:13">
      <c r="A939" s="1" t="s">
        <v>4361</v>
      </c>
      <c r="B939" s="1" t="s">
        <v>13</v>
      </c>
      <c r="C939" s="4" t="s">
        <v>4362</v>
      </c>
      <c r="D939" s="1" t="s">
        <v>4363</v>
      </c>
      <c r="E939" s="1" t="s">
        <v>4364</v>
      </c>
      <c r="F939" s="4" t="s">
        <v>17</v>
      </c>
      <c r="G939" s="1" t="s">
        <v>18</v>
      </c>
      <c r="H939" s="1" t="s">
        <v>19</v>
      </c>
      <c r="I939" s="1" t="s">
        <v>20</v>
      </c>
      <c r="J939" s="1" t="s">
        <v>4365</v>
      </c>
      <c r="K939" s="1" t="s">
        <v>22</v>
      </c>
      <c r="L939" s="1">
        <v>0</v>
      </c>
      <c r="M939" s="2">
        <v>0</v>
      </c>
    </row>
    <row r="940" ht="180" spans="1:13">
      <c r="A940" s="1" t="s">
        <v>4366</v>
      </c>
      <c r="B940" s="1" t="s">
        <v>13</v>
      </c>
      <c r="C940" s="4" t="s">
        <v>4367</v>
      </c>
      <c r="D940" s="1" t="s">
        <v>4368</v>
      </c>
      <c r="E940" s="1" t="s">
        <v>4369</v>
      </c>
      <c r="F940" s="4" t="s">
        <v>17</v>
      </c>
      <c r="G940" s="1" t="s">
        <v>18</v>
      </c>
      <c r="H940" s="1" t="s">
        <v>19</v>
      </c>
      <c r="I940" s="1" t="s">
        <v>20</v>
      </c>
      <c r="J940" s="1" t="s">
        <v>4370</v>
      </c>
      <c r="K940" s="1" t="s">
        <v>22</v>
      </c>
      <c r="L940" s="1" t="str">
        <f>HYPERLINK("https://files.afu.se/Downloads/Transcripts/0%20-%20Government/USA%20-%20NASA%20Kennedy/2015 04 23 - NASA's Kennedy Space Center - Inside KSC! April 24, 2015_12We_GFYtFg - transcript (automated).pdf","Transcript Link")</f>
        <v>Transcript Link</v>
      </c>
      <c r="M940" s="2" t="str">
        <f>HYPERLINK("https://files.afu.se/Downloads/Transcripts/0%20-%20Government/USA%20-%20NASA%20Kennedy/2015 04 23 - NASA's Kennedy Space Center - Inside KSC! April 24, 2015_12We_GFYtFg - transcript (automated).pdf","Transcript Link")</f>
        <v>Transcript Link</v>
      </c>
    </row>
    <row r="941" ht="180" spans="1:13">
      <c r="A941" s="1" t="s">
        <v>4371</v>
      </c>
      <c r="B941" s="1" t="s">
        <v>13</v>
      </c>
      <c r="C941" s="4" t="s">
        <v>4372</v>
      </c>
      <c r="D941" s="1" t="s">
        <v>4373</v>
      </c>
      <c r="E941" s="1" t="s">
        <v>4374</v>
      </c>
      <c r="F941" s="4" t="s">
        <v>17</v>
      </c>
      <c r="G941" s="1" t="s">
        <v>18</v>
      </c>
      <c r="H941" s="1" t="s">
        <v>19</v>
      </c>
      <c r="I941" s="1" t="s">
        <v>20</v>
      </c>
      <c r="J941" s="1" t="s">
        <v>4375</v>
      </c>
      <c r="K941" s="1" t="s">
        <v>22</v>
      </c>
      <c r="L941" s="1" t="str">
        <f>HYPERLINK("https://files.afu.se/Downloads/Transcripts/0%20-%20Government/USA%20-%20NASA%20Kennedy/2015 04 21 - NASA's Kennedy Space Center - An Interview with Bob Richards, Moon Express Inc. founder and CEO_2ca874kxzak - transcript (automated).pdf","Transcript Link")</f>
        <v>Transcript Link</v>
      </c>
      <c r="M941" s="2" t="str">
        <f>HYPERLINK("https://files.afu.se/Downloads/Transcripts/0%20-%20Government/USA%20-%20NASA%20Kennedy/2015 04 21 - NASA's Kennedy Space Center - An Interview with Bob Richards, Moon Express Inc. founder and CEO_2ca874kxzak - transcript (automated).pdf","Transcript Link")</f>
        <v>Transcript Link</v>
      </c>
    </row>
    <row r="942" ht="180" spans="1:13">
      <c r="A942" s="1" t="s">
        <v>4376</v>
      </c>
      <c r="B942" s="1" t="s">
        <v>13</v>
      </c>
      <c r="C942" s="4" t="s">
        <v>4377</v>
      </c>
      <c r="D942" s="1" t="s">
        <v>4378</v>
      </c>
      <c r="E942" s="1" t="s">
        <v>4379</v>
      </c>
      <c r="F942" s="4" t="s">
        <v>17</v>
      </c>
      <c r="G942" s="1" t="s">
        <v>18</v>
      </c>
      <c r="H942" s="1" t="s">
        <v>19</v>
      </c>
      <c r="I942" s="1" t="s">
        <v>20</v>
      </c>
      <c r="J942" s="1" t="s">
        <v>4380</v>
      </c>
      <c r="K942" s="1" t="s">
        <v>22</v>
      </c>
      <c r="L942" s="1" t="str">
        <f>HYPERLINK("https://files.afu.se/Downloads/Transcripts/0%20-%20Government/USA%20-%20NASA%20Kennedy/2015 04 17 - NASA's Kennedy Space Center - Inside KSC! April 17, 2015_Qm03NizaKKs - transcript (automated).pdf","Transcript Link")</f>
        <v>Transcript Link</v>
      </c>
      <c r="M942" s="2" t="str">
        <f>HYPERLINK("https://files.afu.se/Downloads/Transcripts/0%20-%20Government/USA%20-%20NASA%20Kennedy/2015 04 17 - NASA's Kennedy Space Center - Inside KSC! April 17, 2015_Qm03NizaKKs - transcript (automated).pdf","Transcript Link")</f>
        <v>Transcript Link</v>
      </c>
    </row>
    <row r="943" ht="180" spans="1:13">
      <c r="A943" s="1" t="s">
        <v>4381</v>
      </c>
      <c r="B943" s="1" t="s">
        <v>13</v>
      </c>
      <c r="C943" s="4" t="s">
        <v>4382</v>
      </c>
      <c r="D943" s="1" t="s">
        <v>4383</v>
      </c>
      <c r="E943" s="1" t="s">
        <v>4384</v>
      </c>
      <c r="F943" s="4" t="s">
        <v>17</v>
      </c>
      <c r="G943" s="1" t="s">
        <v>18</v>
      </c>
      <c r="H943" s="1" t="s">
        <v>19</v>
      </c>
      <c r="I943" s="1" t="s">
        <v>20</v>
      </c>
      <c r="J943" s="1" t="s">
        <v>4385</v>
      </c>
      <c r="K943" s="1" t="s">
        <v>22</v>
      </c>
      <c r="L943" s="1" t="str">
        <f>HYPERLINK("https://files.afu.se/Downloads/Transcripts/0%20-%20Government/USA%20-%20NASA%20Kennedy/2015 04 14 - NASA's Kennedy Space Center - SpaceX CRS-6 Dragon Spacecraft Separation_6UUoeU8TzsE - transcript (automated).pdf","Transcript Link")</f>
        <v>Transcript Link</v>
      </c>
      <c r="M943" s="2" t="str">
        <f>HYPERLINK("https://files.afu.se/Downloads/Transcripts/0%20-%20Government/USA%20-%20NASA%20Kennedy/2015 04 14 - NASA's Kennedy Space Center - SpaceX CRS-6 Dragon Spacecraft Separation_6UUoeU8TzsE - transcript (automated).pdf","Transcript Link")</f>
        <v>Transcript Link</v>
      </c>
    </row>
    <row r="944" ht="180" spans="1:13">
      <c r="A944" s="1" t="s">
        <v>4381</v>
      </c>
      <c r="B944" s="1" t="s">
        <v>13</v>
      </c>
      <c r="C944" s="4" t="s">
        <v>4386</v>
      </c>
      <c r="D944" s="1" t="s">
        <v>4387</v>
      </c>
      <c r="E944" s="1" t="s">
        <v>4388</v>
      </c>
      <c r="F944" s="4" t="s">
        <v>17</v>
      </c>
      <c r="G944" s="1" t="s">
        <v>18</v>
      </c>
      <c r="H944" s="1" t="s">
        <v>19</v>
      </c>
      <c r="I944" s="1" t="s">
        <v>20</v>
      </c>
      <c r="J944" s="1" t="s">
        <v>4389</v>
      </c>
      <c r="K944" s="1" t="s">
        <v>22</v>
      </c>
      <c r="L944" s="1" t="str">
        <f>HYPERLINK("https://files.afu.se/Downloads/Transcripts/0%20-%20Government/USA%20-%20NASA%20Kennedy/2015 04 14 - NASA's Kennedy Space Center - Liftoff of SpaceX CRS-6_0uVGH5_DFxg - transcript (automated).pdf","Transcript Link")</f>
        <v>Transcript Link</v>
      </c>
      <c r="M944" s="2" t="str">
        <f>HYPERLINK("https://files.afu.se/Downloads/Transcripts/0%20-%20Government/USA%20-%20NASA%20Kennedy/2015 04 14 - NASA's Kennedy Space Center - Liftoff of SpaceX CRS-6_0uVGH5_DFxg - transcript (automated).pdf","Transcript Link")</f>
        <v>Transcript Link</v>
      </c>
    </row>
    <row r="945" ht="180" spans="1:13">
      <c r="A945" s="1" t="s">
        <v>4381</v>
      </c>
      <c r="B945" s="1" t="s">
        <v>13</v>
      </c>
      <c r="C945" s="4" t="s">
        <v>4390</v>
      </c>
      <c r="D945" s="1" t="s">
        <v>4391</v>
      </c>
      <c r="E945" s="1" t="s">
        <v>4231</v>
      </c>
      <c r="F945" s="4" t="s">
        <v>17</v>
      </c>
      <c r="G945" s="1" t="s">
        <v>18</v>
      </c>
      <c r="H945" s="1" t="s">
        <v>19</v>
      </c>
      <c r="I945" s="1" t="s">
        <v>20</v>
      </c>
      <c r="J945" s="1" t="s">
        <v>4392</v>
      </c>
      <c r="K945" s="1" t="s">
        <v>22</v>
      </c>
      <c r="L945" s="1" t="str">
        <f>HYPERLINK("https://files.afu.se/Downloads/Transcripts/0%20-%20Government/USA%20-%20NASA%20Kennedy/2015 04 14 - NASA's Kennedy Space Center - Falcon 9 Ready for Launch SpaceX CRS-6_JIi4JPEpPYA - transcript (automated).pdf","Transcript Link")</f>
        <v>Transcript Link</v>
      </c>
      <c r="M945" s="2" t="str">
        <f>HYPERLINK("https://files.afu.se/Downloads/Transcripts/0%20-%20Government/USA%20-%20NASA%20Kennedy/2015 04 14 - NASA's Kennedy Space Center - Falcon 9 Ready for Launch SpaceX CRS-6_JIi4JPEpPYA - transcript (automated).pdf","Transcript Link")</f>
        <v>Transcript Link</v>
      </c>
    </row>
    <row r="946" ht="180" spans="1:13">
      <c r="A946" s="1" t="s">
        <v>4381</v>
      </c>
      <c r="B946" s="1" t="s">
        <v>13</v>
      </c>
      <c r="C946" s="4" t="s">
        <v>4393</v>
      </c>
      <c r="D946" s="1" t="s">
        <v>4394</v>
      </c>
      <c r="E946" s="1" t="s">
        <v>4395</v>
      </c>
      <c r="F946" s="4" t="s">
        <v>17</v>
      </c>
      <c r="G946" s="1" t="s">
        <v>18</v>
      </c>
      <c r="H946" s="1" t="s">
        <v>19</v>
      </c>
      <c r="I946" s="1" t="s">
        <v>20</v>
      </c>
      <c r="J946" s="1" t="s">
        <v>4396</v>
      </c>
      <c r="K946" s="1" t="s">
        <v>22</v>
      </c>
      <c r="L946" s="1" t="str">
        <f>HYPERLINK("https://files.afu.se/Downloads/Transcripts/0%20-%20Government/USA%20-%20NASA%20Kennedy/2015 04 14 - NASA's Kennedy Space Center - Countdown Underway for SpaceX CRS-6_uGdf7rh9kms - transcript (automated).pdf","Transcript Link")</f>
        <v>Transcript Link</v>
      </c>
      <c r="M946" s="2" t="str">
        <f>HYPERLINK("https://files.afu.se/Downloads/Transcripts/0%20-%20Government/USA%20-%20NASA%20Kennedy/2015 04 14 - NASA's Kennedy Space Center - Countdown Underway for SpaceX CRS-6_uGdf7rh9kms - transcript (automated).pdf","Transcript Link")</f>
        <v>Transcript Link</v>
      </c>
    </row>
    <row r="947" ht="180" spans="1:13">
      <c r="A947" s="1" t="s">
        <v>4381</v>
      </c>
      <c r="B947" s="1" t="s">
        <v>13</v>
      </c>
      <c r="C947" s="4" t="s">
        <v>4397</v>
      </c>
      <c r="D947" s="1" t="s">
        <v>4398</v>
      </c>
      <c r="E947" s="1" t="s">
        <v>4399</v>
      </c>
      <c r="F947" s="4" t="s">
        <v>17</v>
      </c>
      <c r="G947" s="1" t="s">
        <v>18</v>
      </c>
      <c r="H947" s="1" t="s">
        <v>19</v>
      </c>
      <c r="I947" s="1" t="s">
        <v>20</v>
      </c>
      <c r="J947" s="1" t="s">
        <v>4400</v>
      </c>
      <c r="K947" s="1" t="s">
        <v>22</v>
      </c>
      <c r="L947" s="1" t="str">
        <f>HYPERLINK("https://files.afu.se/Downloads/Transcripts/0%20-%20Government/USA%20-%20NASA%20Kennedy/2015 04 14 - NASA's Kennedy Space Center - CST-100 Design Tested in Langley Wind Tunnel_-kQHpRzIsdk - transcript (automated).pdf","Transcript Link")</f>
        <v>Transcript Link</v>
      </c>
      <c r="M947" s="2" t="str">
        <f>HYPERLINK("https://files.afu.se/Downloads/Transcripts/0%20-%20Government/USA%20-%20NASA%20Kennedy/2015 04 14 - NASA's Kennedy Space Center - CST-100 Design Tested in Langley Wind Tunnel_-kQHpRzIsdk - transcript (automated).pdf","Transcript Link")</f>
        <v>Transcript Link</v>
      </c>
    </row>
    <row r="948" ht="180" spans="1:13">
      <c r="A948" s="1" t="s">
        <v>4401</v>
      </c>
      <c r="B948" s="1" t="s">
        <v>13</v>
      </c>
      <c r="C948" s="4" t="s">
        <v>4402</v>
      </c>
      <c r="D948" s="1" t="s">
        <v>4403</v>
      </c>
      <c r="E948" s="1" t="s">
        <v>4404</v>
      </c>
      <c r="F948" s="4" t="s">
        <v>17</v>
      </c>
      <c r="G948" s="1" t="s">
        <v>18</v>
      </c>
      <c r="H948" s="1" t="s">
        <v>19</v>
      </c>
      <c r="I948" s="1" t="s">
        <v>20</v>
      </c>
      <c r="J948" s="1" t="s">
        <v>4405</v>
      </c>
      <c r="K948" s="1" t="s">
        <v>22</v>
      </c>
      <c r="L948" s="1" t="str">
        <f>HYPERLINK("https://files.afu.se/Downloads/Transcripts/0%20-%20Government/USA%20-%20NASA%20Kennedy/2015 04 13 - NASA's Kennedy Space Center - Inside KSC! April 10, 2015_u0jJ0MiP1RA - transcript (automated).pdf","Transcript Link")</f>
        <v>Transcript Link</v>
      </c>
      <c r="M948" s="2" t="str">
        <f>HYPERLINK("https://files.afu.se/Downloads/Transcripts/0%20-%20Government/USA%20-%20NASA%20Kennedy/2015 04 13 - NASA's Kennedy Space Center - Inside KSC! April 10, 2015_u0jJ0MiP1RA - transcript (automated).pdf","Transcript Link")</f>
        <v>Transcript Link</v>
      </c>
    </row>
    <row r="949" ht="180" spans="1:13">
      <c r="A949" s="1" t="s">
        <v>4406</v>
      </c>
      <c r="B949" s="1" t="s">
        <v>13</v>
      </c>
      <c r="C949" s="4" t="s">
        <v>4407</v>
      </c>
      <c r="D949" s="1" t="s">
        <v>4408</v>
      </c>
      <c r="E949" s="1" t="s">
        <v>4409</v>
      </c>
      <c r="F949" s="4" t="s">
        <v>17</v>
      </c>
      <c r="G949" s="1" t="s">
        <v>18</v>
      </c>
      <c r="H949" s="1" t="s">
        <v>19</v>
      </c>
      <c r="I949" s="1" t="s">
        <v>20</v>
      </c>
      <c r="J949" s="1" t="s">
        <v>4410</v>
      </c>
      <c r="K949" s="1" t="s">
        <v>22</v>
      </c>
      <c r="L949" s="1" t="str">
        <f>HYPERLINK("https://files.afu.se/Downloads/Transcripts/0%20-%20Government/USA%20-%20NASA%20Kennedy/2015 04 03 - NASA's Kennedy Space Center - Inside KSC! April 3, 2015_hjL6lg0Ydvg - transcript (automated).pdf","Transcript Link")</f>
        <v>Transcript Link</v>
      </c>
      <c r="M949" s="2" t="str">
        <f>HYPERLINK("https://files.afu.se/Downloads/Transcripts/0%20-%20Government/USA%20-%20NASA%20Kennedy/2015 04 03 - NASA's Kennedy Space Center - Inside KSC! April 3, 2015_hjL6lg0Ydvg - transcript (automated).pdf","Transcript Link")</f>
        <v>Transcript Link</v>
      </c>
    </row>
    <row r="950" ht="180" spans="1:13">
      <c r="A950" s="1" t="s">
        <v>4411</v>
      </c>
      <c r="B950" s="1" t="s">
        <v>13</v>
      </c>
      <c r="C950" s="4" t="s">
        <v>4412</v>
      </c>
      <c r="D950" s="1" t="s">
        <v>4413</v>
      </c>
      <c r="E950" s="1" t="s">
        <v>4414</v>
      </c>
      <c r="F950" s="4" t="s">
        <v>17</v>
      </c>
      <c r="G950" s="1" t="s">
        <v>18</v>
      </c>
      <c r="H950" s="1" t="s">
        <v>19</v>
      </c>
      <c r="I950" s="1" t="s">
        <v>20</v>
      </c>
      <c r="J950" s="1" t="s">
        <v>4415</v>
      </c>
      <c r="K950" s="1" t="s">
        <v>22</v>
      </c>
      <c r="L950" s="1" t="str">
        <f>HYPERLINK("https://files.afu.se/Downloads/Transcripts/0%20-%20Government/USA%20-%20NASA%20Kennedy/2015 04 01 - NASA's Kennedy Space Center - 25 Years Started Here  Kennedy and the Launch of the Hubble_jd80Yu_DAYg - transcript (automated).pdf","Transcript Link")</f>
        <v>Transcript Link</v>
      </c>
      <c r="M950" s="2" t="str">
        <f>HYPERLINK("https://files.afu.se/Downloads/Transcripts/0%20-%20Government/USA%20-%20NASA%20Kennedy/2015 04 01 - NASA's Kennedy Space Center - 25 Years Started Here  Kennedy and the Launch of the Hubble_jd80Yu_DAYg - transcript (automated).pdf","Transcript Link")</f>
        <v>Transcript Link</v>
      </c>
    </row>
    <row r="951" ht="180" spans="1:13">
      <c r="A951" s="1" t="s">
        <v>4416</v>
      </c>
      <c r="B951" s="1" t="s">
        <v>13</v>
      </c>
      <c r="C951" s="4" t="s">
        <v>4417</v>
      </c>
      <c r="D951" s="1" t="s">
        <v>4418</v>
      </c>
      <c r="E951" s="1" t="s">
        <v>4419</v>
      </c>
      <c r="F951" s="4" t="s">
        <v>17</v>
      </c>
      <c r="G951" s="1" t="s">
        <v>18</v>
      </c>
      <c r="H951" s="1" t="s">
        <v>19</v>
      </c>
      <c r="I951" s="1" t="s">
        <v>20</v>
      </c>
      <c r="J951" s="1" t="s">
        <v>4420</v>
      </c>
      <c r="K951" s="1" t="s">
        <v>22</v>
      </c>
      <c r="L951" s="1" t="str">
        <f>HYPERLINK("https://files.afu.se/Downloads/Transcripts/0%20-%20Government/USA%20-%20NASA%20Kennedy/2015 03 31 - NASA's Kennedy Space Center - AstroViews  Mike Fincke_dxUD6B2jKE0 - transcript (automated).pdf","Transcript Link")</f>
        <v>Transcript Link</v>
      </c>
      <c r="M951" s="2" t="str">
        <f>HYPERLINK("https://files.afu.se/Downloads/Transcripts/0%20-%20Government/USA%20-%20NASA%20Kennedy/2015 03 31 - NASA's Kennedy Space Center - AstroViews  Mike Fincke_dxUD6B2jKE0 - transcript (automated).pdf","Transcript Link")</f>
        <v>Transcript Link</v>
      </c>
    </row>
    <row r="952" ht="180" spans="1:13">
      <c r="A952" s="1" t="s">
        <v>4421</v>
      </c>
      <c r="B952" s="1" t="s">
        <v>13</v>
      </c>
      <c r="C952" s="4" t="s">
        <v>4422</v>
      </c>
      <c r="D952" s="1" t="s">
        <v>4423</v>
      </c>
      <c r="E952" s="1" t="s">
        <v>4424</v>
      </c>
      <c r="F952" s="4" t="s">
        <v>17</v>
      </c>
      <c r="G952" s="1" t="s">
        <v>18</v>
      </c>
      <c r="H952" s="1" t="s">
        <v>19</v>
      </c>
      <c r="I952" s="1" t="s">
        <v>20</v>
      </c>
      <c r="J952" s="1" t="s">
        <v>4425</v>
      </c>
      <c r="K952" s="1" t="s">
        <v>22</v>
      </c>
      <c r="L952" s="1" t="str">
        <f>HYPERLINK("https://files.afu.se/Downloads/Transcripts/0%20-%20Government/USA%20-%20NASA%20Kennedy/2015 03 27 - NASA's Kennedy Space Center - Inside KSC! March 27, 2015_y3L4eW3W9R8 - transcript (automated).pdf","Transcript Link")</f>
        <v>Transcript Link</v>
      </c>
      <c r="M952" s="2" t="str">
        <f>HYPERLINK("https://files.afu.se/Downloads/Transcripts/0%20-%20Government/USA%20-%20NASA%20Kennedy/2015 03 27 - NASA's Kennedy Space Center - Inside KSC! March 27, 2015_y3L4eW3W9R8 - transcript (automated).pdf","Transcript Link")</f>
        <v>Transcript Link</v>
      </c>
    </row>
    <row r="953" ht="180" spans="1:13">
      <c r="A953" s="1" t="s">
        <v>4426</v>
      </c>
      <c r="B953" s="1" t="s">
        <v>13</v>
      </c>
      <c r="C953" s="4" t="s">
        <v>4427</v>
      </c>
      <c r="D953" s="1" t="s">
        <v>4428</v>
      </c>
      <c r="E953" s="1" t="s">
        <v>4429</v>
      </c>
      <c r="F953" s="4" t="s">
        <v>17</v>
      </c>
      <c r="G953" s="1" t="s">
        <v>18</v>
      </c>
      <c r="H953" s="1" t="s">
        <v>19</v>
      </c>
      <c r="I953" s="1" t="s">
        <v>20</v>
      </c>
      <c r="J953" s="1" t="s">
        <v>4430</v>
      </c>
      <c r="K953" s="1" t="s">
        <v>22</v>
      </c>
      <c r="L953" s="1" t="str">
        <f>HYPERLINK("https://files.afu.se/Downloads/Transcripts/0%20-%20Government/USA%20-%20NASA%20Kennedy/2015 03 20 - NASA's Kennedy Space Center - Inside KSC! March 20, 2015_jSCNWASzkvw - transcript (automated).pdf","Transcript Link")</f>
        <v>Transcript Link</v>
      </c>
      <c r="M953" s="2" t="str">
        <f>HYPERLINK("https://files.afu.se/Downloads/Transcripts/0%20-%20Government/USA%20-%20NASA%20Kennedy/2015 03 20 - NASA's Kennedy Space Center - Inside KSC! March 20, 2015_jSCNWASzkvw - transcript (automated).pdf","Transcript Link")</f>
        <v>Transcript Link</v>
      </c>
    </row>
    <row r="954" ht="180" spans="1:13">
      <c r="A954" s="1" t="s">
        <v>4426</v>
      </c>
      <c r="B954" s="1" t="s">
        <v>13</v>
      </c>
      <c r="C954" s="4" t="s">
        <v>4431</v>
      </c>
      <c r="D954" s="1" t="s">
        <v>4432</v>
      </c>
      <c r="E954" s="1" t="s">
        <v>4433</v>
      </c>
      <c r="F954" s="4" t="s">
        <v>17</v>
      </c>
      <c r="G954" s="1" t="s">
        <v>18</v>
      </c>
      <c r="H954" s="1" t="s">
        <v>19</v>
      </c>
      <c r="I954" s="1" t="s">
        <v>20</v>
      </c>
      <c r="J954" s="1" t="s">
        <v>4434</v>
      </c>
      <c r="K954" s="1" t="s">
        <v>22</v>
      </c>
      <c r="L954" s="1" t="str">
        <f>HYPERLINK("https://files.afu.se/Downloads/Transcripts/0%20-%20Government/USA%20-%20NASA%20Kennedy/2015 03 20 - NASA's Kennedy Space Center - Swarmies Work Through Field Tests_kjSD6DWk0OM - transcript (automated).pdf","Transcript Link")</f>
        <v>Transcript Link</v>
      </c>
      <c r="M954" s="2" t="str">
        <f>HYPERLINK("https://files.afu.se/Downloads/Transcripts/0%20-%20Government/USA%20-%20NASA%20Kennedy/2015 03 20 - NASA's Kennedy Space Center - Swarmies Work Through Field Tests_kjSD6DWk0OM - transcript (automated).pdf","Transcript Link")</f>
        <v>Transcript Link</v>
      </c>
    </row>
    <row r="955" ht="180" spans="1:13">
      <c r="A955" s="1" t="s">
        <v>4435</v>
      </c>
      <c r="B955" s="1" t="s">
        <v>13</v>
      </c>
      <c r="C955" s="4" t="s">
        <v>4436</v>
      </c>
      <c r="D955" s="1" t="s">
        <v>4437</v>
      </c>
      <c r="E955" s="1" t="s">
        <v>4438</v>
      </c>
      <c r="F955" s="4" t="s">
        <v>17</v>
      </c>
      <c r="G955" s="1" t="s">
        <v>18</v>
      </c>
      <c r="H955" s="1" t="s">
        <v>19</v>
      </c>
      <c r="I955" s="1" t="s">
        <v>20</v>
      </c>
      <c r="J955" s="1" t="s">
        <v>4439</v>
      </c>
      <c r="K955" s="1" t="s">
        <v>22</v>
      </c>
      <c r="L955" s="1" t="str">
        <f>HYPERLINK("https://files.afu.se/Downloads/Transcripts/0%20-%20Government/USA%20-%20NASA%20Kennedy/2015 03 19 - NASA's Kennedy Space Center - Partner With Kennedy Space Center_etn8xzF3iz0 - transcript (automated).pdf","Transcript Link")</f>
        <v>Transcript Link</v>
      </c>
      <c r="M955" s="2" t="str">
        <f>HYPERLINK("https://files.afu.se/Downloads/Transcripts/0%20-%20Government/USA%20-%20NASA%20Kennedy/2015 03 19 - NASA's Kennedy Space Center - Partner With Kennedy Space Center_etn8xzF3iz0 - transcript (automated).pdf","Transcript Link")</f>
        <v>Transcript Link</v>
      </c>
    </row>
    <row r="956" ht="180" spans="1:13">
      <c r="A956" s="1" t="s">
        <v>4440</v>
      </c>
      <c r="B956" s="1" t="s">
        <v>13</v>
      </c>
      <c r="C956" s="4" t="s">
        <v>4441</v>
      </c>
      <c r="D956" s="1" t="s">
        <v>4442</v>
      </c>
      <c r="E956" s="1" t="s">
        <v>4443</v>
      </c>
      <c r="F956" s="4" t="s">
        <v>17</v>
      </c>
      <c r="G956" s="1" t="s">
        <v>18</v>
      </c>
      <c r="H956" s="1" t="s">
        <v>19</v>
      </c>
      <c r="I956" s="1" t="s">
        <v>20</v>
      </c>
      <c r="J956" s="1" t="s">
        <v>4444</v>
      </c>
      <c r="K956" s="1" t="s">
        <v>22</v>
      </c>
      <c r="L956" s="1" t="str">
        <f>HYPERLINK("https://files.afu.se/Downloads/Transcripts/0%20-%20Government/USA%20-%20NASA%20Kennedy/2015 03 16 - NASA's Kennedy Space Center - Interview with NASA's MMS Launch Director_cS7j2Go5Tw8 - transcript (automated).pdf","Transcript Link")</f>
        <v>Transcript Link</v>
      </c>
      <c r="M956" s="2" t="str">
        <f>HYPERLINK("https://files.afu.se/Downloads/Transcripts/0%20-%20Government/USA%20-%20NASA%20Kennedy/2015 03 16 - NASA's Kennedy Space Center - Interview with NASA's MMS Launch Director_cS7j2Go5Tw8 - transcript (automated).pdf","Transcript Link")</f>
        <v>Transcript Link</v>
      </c>
    </row>
    <row r="957" ht="180" spans="1:13">
      <c r="A957" s="1" t="s">
        <v>4445</v>
      </c>
      <c r="B957" s="1" t="s">
        <v>13</v>
      </c>
      <c r="C957" s="4" t="s">
        <v>4446</v>
      </c>
      <c r="D957" s="1" t="s">
        <v>4447</v>
      </c>
      <c r="E957" s="1" t="s">
        <v>4448</v>
      </c>
      <c r="F957" s="4" t="s">
        <v>17</v>
      </c>
      <c r="G957" s="1" t="s">
        <v>18</v>
      </c>
      <c r="H957" s="1" t="s">
        <v>19</v>
      </c>
      <c r="I957" s="1" t="s">
        <v>20</v>
      </c>
      <c r="J957" s="1" t="s">
        <v>4449</v>
      </c>
      <c r="K957" s="1" t="s">
        <v>22</v>
      </c>
      <c r="L957" s="1" t="str">
        <f>HYPERLINK("https://files.afu.se/Downloads/Transcripts/0%20-%20Government/USA%20-%20NASA%20Kennedy/2015 03 13 - NASA's Kennedy Space Center - MMS Spacecraft Separates from Centaur_30MypTraV8c - transcript (automated).pdf","Transcript Link")</f>
        <v>Transcript Link</v>
      </c>
      <c r="M957" s="2" t="str">
        <f>HYPERLINK("https://files.afu.se/Downloads/Transcripts/0%20-%20Government/USA%20-%20NASA%20Kennedy/2015 03 13 - NASA's Kennedy Space Center - MMS Spacecraft Separates from Centaur_30MypTraV8c - transcript (automated).pdf","Transcript Link")</f>
        <v>Transcript Link</v>
      </c>
    </row>
    <row r="958" ht="180" spans="1:13">
      <c r="A958" s="1" t="s">
        <v>4445</v>
      </c>
      <c r="B958" s="1" t="s">
        <v>13</v>
      </c>
      <c r="C958" s="4" t="s">
        <v>4450</v>
      </c>
      <c r="D958" s="1" t="s">
        <v>4451</v>
      </c>
      <c r="E958" s="1" t="s">
        <v>4452</v>
      </c>
      <c r="F958" s="4" t="s">
        <v>17</v>
      </c>
      <c r="G958" s="1" t="s">
        <v>18</v>
      </c>
      <c r="H958" s="1" t="s">
        <v>19</v>
      </c>
      <c r="I958" s="1" t="s">
        <v>20</v>
      </c>
      <c r="J958" s="1" t="s">
        <v>4453</v>
      </c>
      <c r="K958" s="1" t="s">
        <v>22</v>
      </c>
      <c r="L958" s="1" t="str">
        <f>HYPERLINK("https://files.afu.se/Downloads/Transcripts/0%20-%20Government/USA%20-%20NASA%20Kennedy/2015 03 13 - NASA's Kennedy Space Center - Inside KSC! March. 13, 2015_M5feIiW0WGU - transcript (automated).pdf","Transcript Link")</f>
        <v>Transcript Link</v>
      </c>
      <c r="M958" s="2" t="str">
        <f>HYPERLINK("https://files.afu.se/Downloads/Transcripts/0%20-%20Government/USA%20-%20NASA%20Kennedy/2015 03 13 - NASA's Kennedy Space Center - Inside KSC! March. 13, 2015_M5feIiW0WGU - transcript (automated).pdf","Transcript Link")</f>
        <v>Transcript Link</v>
      </c>
    </row>
    <row r="959" ht="180" spans="1:13">
      <c r="A959" s="1" t="s">
        <v>4445</v>
      </c>
      <c r="B959" s="1" t="s">
        <v>13</v>
      </c>
      <c r="C959" s="4" t="s">
        <v>4454</v>
      </c>
      <c r="D959" s="1" t="s">
        <v>4455</v>
      </c>
      <c r="E959" s="1" t="s">
        <v>4456</v>
      </c>
      <c r="F959" s="4" t="s">
        <v>17</v>
      </c>
      <c r="G959" s="1" t="s">
        <v>18</v>
      </c>
      <c r="H959" s="1" t="s">
        <v>19</v>
      </c>
      <c r="I959" s="1" t="s">
        <v>20</v>
      </c>
      <c r="J959" s="1" t="s">
        <v>4457</v>
      </c>
      <c r="K959" s="1" t="s">
        <v>22</v>
      </c>
      <c r="L959" s="1" t="str">
        <f>HYPERLINK("https://files.afu.se/Downloads/Transcripts/0%20-%20Government/USA%20-%20NASA%20Kennedy/2015 03 13 - NASA's Kennedy Space Center - MMS Spacecraft Separation_dSXoUvdJulU - transcript (automated).pdf","Transcript Link")</f>
        <v>Transcript Link</v>
      </c>
      <c r="M959" s="2" t="str">
        <f>HYPERLINK("https://files.afu.se/Downloads/Transcripts/0%20-%20Government/USA%20-%20NASA%20Kennedy/2015 03 13 - NASA's Kennedy Space Center - MMS Spacecraft Separation_dSXoUvdJulU - transcript (automated).pdf","Transcript Link")</f>
        <v>Transcript Link</v>
      </c>
    </row>
    <row r="960" ht="180" spans="1:13">
      <c r="A960" s="1" t="s">
        <v>4445</v>
      </c>
      <c r="B960" s="1" t="s">
        <v>13</v>
      </c>
      <c r="C960" s="4" t="s">
        <v>4458</v>
      </c>
      <c r="D960" s="1" t="s">
        <v>4459</v>
      </c>
      <c r="E960" s="1" t="s">
        <v>4460</v>
      </c>
      <c r="F960" s="4" t="s">
        <v>17</v>
      </c>
      <c r="G960" s="1" t="s">
        <v>18</v>
      </c>
      <c r="H960" s="1" t="s">
        <v>19</v>
      </c>
      <c r="I960" s="1" t="s">
        <v>20</v>
      </c>
      <c r="J960" s="1" t="s">
        <v>4461</v>
      </c>
      <c r="K960" s="1" t="s">
        <v>22</v>
      </c>
      <c r="L960" s="1" t="str">
        <f>HYPERLINK("https://files.afu.se/Downloads/Transcripts/0%20-%20Government/USA%20-%20NASA%20Kennedy/2015 03 13 - NASA's Kennedy Space Center - Liftoff of MMS_P30SwoVJvhw - transcript (automated).pdf","Transcript Link")</f>
        <v>Transcript Link</v>
      </c>
      <c r="M960" s="2" t="str">
        <f>HYPERLINK("https://files.afu.se/Downloads/Transcripts/0%20-%20Government/USA%20-%20NASA%20Kennedy/2015 03 13 - NASA's Kennedy Space Center - Liftoff of MMS_P30SwoVJvhw - transcript (automated).pdf","Transcript Link")</f>
        <v>Transcript Link</v>
      </c>
    </row>
    <row r="961" ht="180" spans="1:13">
      <c r="A961" s="1" t="s">
        <v>4445</v>
      </c>
      <c r="B961" s="1" t="s">
        <v>13</v>
      </c>
      <c r="C961" s="4" t="s">
        <v>4462</v>
      </c>
      <c r="D961" s="1" t="s">
        <v>4463</v>
      </c>
      <c r="E961" s="1" t="s">
        <v>4464</v>
      </c>
      <c r="F961" s="4" t="s">
        <v>17</v>
      </c>
      <c r="G961" s="1" t="s">
        <v>18</v>
      </c>
      <c r="H961" s="1" t="s">
        <v>19</v>
      </c>
      <c r="I961" s="1" t="s">
        <v>20</v>
      </c>
      <c r="J961" s="1" t="s">
        <v>4465</v>
      </c>
      <c r="K961" s="1" t="s">
        <v>22</v>
      </c>
      <c r="L961" s="1" t="str">
        <f>HYPERLINK("https://files.afu.se/Downloads/Transcripts/0%20-%20Government/USA%20-%20NASA%20Kennedy/2015 03 13 - NASA's Kennedy Space Center - MMS, Atlas V are  Go  for Launch_iIO2TyF6JKk - transcript (automated).pdf","Transcript Link")</f>
        <v>Transcript Link</v>
      </c>
      <c r="M961" s="2" t="str">
        <f>HYPERLINK("https://files.afu.se/Downloads/Transcripts/0%20-%20Government/USA%20-%20NASA%20Kennedy/2015 03 13 - NASA's Kennedy Space Center - MMS, Atlas V are  Go  for Launch_iIO2TyF6JKk - transcript (automated).pdf","Transcript Link")</f>
        <v>Transcript Link</v>
      </c>
    </row>
    <row r="962" ht="180" spans="1:13">
      <c r="A962" s="1" t="s">
        <v>4445</v>
      </c>
      <c r="B962" s="1" t="s">
        <v>13</v>
      </c>
      <c r="C962" s="4" t="s">
        <v>4466</v>
      </c>
      <c r="D962" s="1" t="s">
        <v>4467</v>
      </c>
      <c r="E962" s="1" t="s">
        <v>4468</v>
      </c>
      <c r="F962" s="4" t="s">
        <v>17</v>
      </c>
      <c r="G962" s="1" t="s">
        <v>18</v>
      </c>
      <c r="H962" s="1" t="s">
        <v>19</v>
      </c>
      <c r="I962" s="1" t="s">
        <v>20</v>
      </c>
      <c r="J962" s="1" t="s">
        <v>4469</v>
      </c>
      <c r="K962" s="1" t="s">
        <v>22</v>
      </c>
      <c r="L962" s="1" t="str">
        <f>HYPERLINK("https://files.afu.se/Downloads/Transcripts/0%20-%20Government/USA%20-%20NASA%20Kennedy/2015 03 13 - NASA's Kennedy Space Center - NASA's MMS Ready for Launch Atop Atlas V_sFdN7MQ5yDs - transcript (automated).pdf","Transcript Link")</f>
        <v>Transcript Link</v>
      </c>
      <c r="M962" s="2" t="str">
        <f>HYPERLINK("https://files.afu.se/Downloads/Transcripts/0%20-%20Government/USA%20-%20NASA%20Kennedy/2015 03 13 - NASA's Kennedy Space Center - NASA's MMS Ready for Launch Atop Atlas V_sFdN7MQ5yDs - transcript (automated).pdf","Transcript Link")</f>
        <v>Transcript Link</v>
      </c>
    </row>
    <row r="963" ht="180" spans="1:13">
      <c r="A963" s="1" t="s">
        <v>4470</v>
      </c>
      <c r="B963" s="1" t="s">
        <v>13</v>
      </c>
      <c r="C963" s="4" t="s">
        <v>4471</v>
      </c>
      <c r="D963" s="1" t="s">
        <v>4472</v>
      </c>
      <c r="E963" s="1" t="s">
        <v>4473</v>
      </c>
      <c r="F963" s="4" t="s">
        <v>17</v>
      </c>
      <c r="G963" s="1" t="s">
        <v>18</v>
      </c>
      <c r="H963" s="1" t="s">
        <v>19</v>
      </c>
      <c r="I963" s="1" t="s">
        <v>20</v>
      </c>
      <c r="J963" s="1" t="s">
        <v>4474</v>
      </c>
      <c r="K963" s="1" t="s">
        <v>22</v>
      </c>
      <c r="L963" s="1" t="str">
        <f>HYPERLINK("https://files.afu.se/Downloads/Transcripts/0%20-%20Government/USA%20-%20NASA%20Kennedy/2015 03 12 - NASA's Kennedy Space Center - Atlas V Rolled to Launch Pad for MMS_cIZpsO7OC0g - transcript (automated).pdf","Transcript Link")</f>
        <v>Transcript Link</v>
      </c>
      <c r="M963" s="2" t="str">
        <f>HYPERLINK("https://files.afu.se/Downloads/Transcripts/0%20-%20Government/USA%20-%20NASA%20Kennedy/2015 03 12 - NASA's Kennedy Space Center - Atlas V Rolled to Launch Pad for MMS_cIZpsO7OC0g - transcript (automated).pdf","Transcript Link")</f>
        <v>Transcript Link</v>
      </c>
    </row>
    <row r="964" ht="180" spans="1:13">
      <c r="A964" s="1" t="s">
        <v>4470</v>
      </c>
      <c r="B964" s="1" t="s">
        <v>13</v>
      </c>
      <c r="C964" s="4" t="s">
        <v>4475</v>
      </c>
      <c r="D964" s="1" t="s">
        <v>4476</v>
      </c>
      <c r="E964" s="1" t="s">
        <v>4477</v>
      </c>
      <c r="F964" s="4" t="s">
        <v>17</v>
      </c>
      <c r="G964" s="1" t="s">
        <v>18</v>
      </c>
      <c r="H964" s="1" t="s">
        <v>19</v>
      </c>
      <c r="I964" s="1" t="s">
        <v>20</v>
      </c>
      <c r="J964" s="1" t="s">
        <v>4478</v>
      </c>
      <c r="K964" s="1" t="s">
        <v>22</v>
      </c>
      <c r="L964" s="1" t="str">
        <f>HYPERLINK("https://files.afu.se/Downloads/Transcripts/0%20-%20Government/USA%20-%20NASA%20Kennedy/2015 03 12 - NASA's Kennedy Space Center - MMS Researcher Demonstrates Wire Experiment_XTsQAV17gWs - transcript (automated).pdf","Transcript Link")</f>
        <v>Transcript Link</v>
      </c>
      <c r="M964" s="2" t="str">
        <f>HYPERLINK("https://files.afu.se/Downloads/Transcripts/0%20-%20Government/USA%20-%20NASA%20Kennedy/2015 03 12 - NASA's Kennedy Space Center - MMS Researcher Demonstrates Wire Experiment_XTsQAV17gWs - transcript (automated).pdf","Transcript Link")</f>
        <v>Transcript Link</v>
      </c>
    </row>
    <row r="965" ht="180" spans="1:13">
      <c r="A965" s="1" t="s">
        <v>4479</v>
      </c>
      <c r="B965" s="1" t="s">
        <v>13</v>
      </c>
      <c r="C965" s="4" t="s">
        <v>4480</v>
      </c>
      <c r="D965" s="1" t="s">
        <v>4481</v>
      </c>
      <c r="E965" s="1" t="s">
        <v>4482</v>
      </c>
      <c r="F965" s="4" t="s">
        <v>17</v>
      </c>
      <c r="G965" s="1" t="s">
        <v>18</v>
      </c>
      <c r="H965" s="1" t="s">
        <v>19</v>
      </c>
      <c r="I965" s="1" t="s">
        <v>20</v>
      </c>
      <c r="J965" s="1" t="s">
        <v>4483</v>
      </c>
      <c r="K965" s="1" t="s">
        <v>22</v>
      </c>
      <c r="L965" s="1" t="str">
        <f>HYPERLINK("https://files.afu.se/Downloads/Transcripts/0%20-%20Government/USA%20-%20NASA%20Kennedy/2015 03 11 - NASA's Kennedy Space Center - MMS and Atlas V Readied for Launch_TSGrcpgzRIE - transcript (automated).pdf","Transcript Link")</f>
        <v>Transcript Link</v>
      </c>
      <c r="M965" s="2" t="str">
        <f>HYPERLINK("https://files.afu.se/Downloads/Transcripts/0%20-%20Government/USA%20-%20NASA%20Kennedy/2015 03 11 - NASA's Kennedy Space Center - MMS and Atlas V Readied for Launch_TSGrcpgzRIE - transcript (automated).pdf","Transcript Link")</f>
        <v>Transcript Link</v>
      </c>
    </row>
    <row r="966" ht="180" spans="1:13">
      <c r="A966" s="1" t="s">
        <v>4479</v>
      </c>
      <c r="B966" s="1" t="s">
        <v>13</v>
      </c>
      <c r="C966" s="4" t="s">
        <v>4484</v>
      </c>
      <c r="D966" s="1" t="s">
        <v>4485</v>
      </c>
      <c r="E966" s="1" t="s">
        <v>4486</v>
      </c>
      <c r="F966" s="4" t="s">
        <v>17</v>
      </c>
      <c r="G966" s="1" t="s">
        <v>18</v>
      </c>
      <c r="H966" s="1" t="s">
        <v>19</v>
      </c>
      <c r="I966" s="1" t="s">
        <v>20</v>
      </c>
      <c r="J966" s="1" t="s">
        <v>4487</v>
      </c>
      <c r="K966" s="1" t="s">
        <v>22</v>
      </c>
      <c r="L966" s="1" t="str">
        <f>HYPERLINK("https://files.afu.se/Downloads/Transcripts/0%20-%20Government/USA%20-%20NASA%20Kennedy/2015 03 11 - NASA's Kennedy Space Center - NASA's Magnetospheric Multiscale Mission_dUF0ePGW-0E - transcript (automated).pdf","Transcript Link")</f>
        <v>Transcript Link</v>
      </c>
      <c r="M966" s="2" t="str">
        <f>HYPERLINK("https://files.afu.se/Downloads/Transcripts/0%20-%20Government/USA%20-%20NASA%20Kennedy/2015 03 11 - NASA's Kennedy Space Center - NASA's Magnetospheric Multiscale Mission_dUF0ePGW-0E - transcript (automated).pdf","Transcript Link")</f>
        <v>Transcript Link</v>
      </c>
    </row>
    <row r="967" ht="180" spans="1:13">
      <c r="A967" s="1" t="s">
        <v>4488</v>
      </c>
      <c r="B967" s="1" t="s">
        <v>13</v>
      </c>
      <c r="C967" s="4" t="s">
        <v>4489</v>
      </c>
      <c r="D967" s="1" t="s">
        <v>4490</v>
      </c>
      <c r="E967" s="1" t="s">
        <v>4491</v>
      </c>
      <c r="F967" s="4" t="s">
        <v>17</v>
      </c>
      <c r="G967" s="1" t="s">
        <v>18</v>
      </c>
      <c r="H967" s="1" t="s">
        <v>19</v>
      </c>
      <c r="I967" s="1" t="s">
        <v>20</v>
      </c>
      <c r="J967" s="1" t="s">
        <v>4492</v>
      </c>
      <c r="K967" s="1" t="s">
        <v>22</v>
      </c>
      <c r="L967" s="1" t="str">
        <f>HYPERLINK("https://files.afu.se/Downloads/Transcripts/0%20-%20Government/USA%20-%20NASA%20Kennedy/2015 03 10 - NASA's Kennedy Space Center - AstroViews  The Promise of Commercial Crew_ZmHODhOg6x0 - transcript (automated).pdf","Transcript Link")</f>
        <v>Transcript Link</v>
      </c>
      <c r="M967" s="2" t="str">
        <f>HYPERLINK("https://files.afu.se/Downloads/Transcripts/0%20-%20Government/USA%20-%20NASA%20Kennedy/2015 03 10 - NASA's Kennedy Space Center - AstroViews  The Promise of Commercial Crew_ZmHODhOg6x0 - transcript (automated).pdf","Transcript Link")</f>
        <v>Transcript Link</v>
      </c>
    </row>
    <row r="968" ht="180" spans="1:13">
      <c r="A968" s="1" t="s">
        <v>4493</v>
      </c>
      <c r="B968" s="1" t="s">
        <v>13</v>
      </c>
      <c r="C968" s="4" t="s">
        <v>4494</v>
      </c>
      <c r="D968" s="1" t="s">
        <v>4495</v>
      </c>
      <c r="E968" s="1" t="s">
        <v>4496</v>
      </c>
      <c r="F968" s="4" t="s">
        <v>17</v>
      </c>
      <c r="G968" s="1" t="s">
        <v>18</v>
      </c>
      <c r="H968" s="1" t="s">
        <v>19</v>
      </c>
      <c r="I968" s="1" t="s">
        <v>20</v>
      </c>
      <c r="J968" s="1" t="s">
        <v>4497</v>
      </c>
      <c r="K968" s="1" t="s">
        <v>22</v>
      </c>
      <c r="L968" s="1" t="str">
        <f>HYPERLINK("https://files.afu.se/Downloads/Transcripts/0%20-%20Government/USA%20-%20NASA%20Kennedy/2015 03 06 - NASA's Kennedy Space Center - Inside KSC! March. 6, 2015_2PWVfUqgoso - transcript (automated).pdf","Transcript Link")</f>
        <v>Transcript Link</v>
      </c>
      <c r="M968" s="2" t="str">
        <f>HYPERLINK("https://files.afu.se/Downloads/Transcripts/0%20-%20Government/USA%20-%20NASA%20Kennedy/2015 03 06 - NASA's Kennedy Space Center - Inside KSC! March. 6, 2015_2PWVfUqgoso - transcript (automated).pdf","Transcript Link")</f>
        <v>Transcript Link</v>
      </c>
    </row>
    <row r="969" ht="180" spans="1:13">
      <c r="A969" s="1" t="s">
        <v>4498</v>
      </c>
      <c r="B969" s="1" t="s">
        <v>13</v>
      </c>
      <c r="C969" s="4" t="s">
        <v>4499</v>
      </c>
      <c r="D969" s="1" t="s">
        <v>4500</v>
      </c>
      <c r="E969" s="1" t="s">
        <v>4501</v>
      </c>
      <c r="F969" s="4" t="s">
        <v>17</v>
      </c>
      <c r="G969" s="1" t="s">
        <v>18</v>
      </c>
      <c r="H969" s="1" t="s">
        <v>19</v>
      </c>
      <c r="I969" s="1" t="s">
        <v>20</v>
      </c>
      <c r="J969" s="1" t="s">
        <v>4502</v>
      </c>
      <c r="K969" s="1" t="s">
        <v>22</v>
      </c>
      <c r="L969" s="1" t="str">
        <f>HYPERLINK("https://files.afu.se/Downloads/Transcripts/0%20-%20Government/USA%20-%20NASA%20Kennedy/2015 03 04 - NASA's Kennedy Space Center - Launch Services Program  Expand the Frontiers of Knowledge_P5rHs3SOKdo - transcript (automated).pdf","Transcript Link")</f>
        <v>Transcript Link</v>
      </c>
      <c r="M969" s="2" t="str">
        <f>HYPERLINK("https://files.afu.se/Downloads/Transcripts/0%20-%20Government/USA%20-%20NASA%20Kennedy/2015 03 04 - NASA's Kennedy Space Center - Launch Services Program  Expand the Frontiers of Knowledge_P5rHs3SOKdo - transcript (automated).pdf","Transcript Link")</f>
        <v>Transcript Link</v>
      </c>
    </row>
    <row r="970" ht="180" spans="1:13">
      <c r="A970" s="1" t="s">
        <v>4503</v>
      </c>
      <c r="B970" s="1" t="s">
        <v>13</v>
      </c>
      <c r="C970" s="4" t="s">
        <v>4504</v>
      </c>
      <c r="D970" s="1" t="s">
        <v>4505</v>
      </c>
      <c r="E970" s="1" t="s">
        <v>4506</v>
      </c>
      <c r="F970" s="4" t="s">
        <v>17</v>
      </c>
      <c r="G970" s="1" t="s">
        <v>18</v>
      </c>
      <c r="H970" s="1" t="s">
        <v>19</v>
      </c>
      <c r="I970" s="1" t="s">
        <v>20</v>
      </c>
      <c r="J970" s="1" t="s">
        <v>4507</v>
      </c>
      <c r="K970" s="1" t="s">
        <v>22</v>
      </c>
      <c r="L970" s="1" t="str">
        <f>HYPERLINK("https://files.afu.se/Downloads/Transcripts/0%20-%20Government/USA%20-%20NASA%20Kennedy/2015 02 27 - NASA's Kennedy Space Center - Inside KSC! Feb. 27, 2015_mYlBabMIesE - transcript (automated).pdf","Transcript Link")</f>
        <v>Transcript Link</v>
      </c>
      <c r="M970" s="2" t="str">
        <f>HYPERLINK("https://files.afu.se/Downloads/Transcripts/0%20-%20Government/USA%20-%20NASA%20Kennedy/2015 02 27 - NASA's Kennedy Space Center - Inside KSC! Feb. 27, 2015_mYlBabMIesE - transcript (automated).pdf","Transcript Link")</f>
        <v>Transcript Link</v>
      </c>
    </row>
    <row r="971" ht="180" spans="1:13">
      <c r="A971" s="1" t="s">
        <v>4508</v>
      </c>
      <c r="B971" s="1" t="s">
        <v>13</v>
      </c>
      <c r="C971" s="4" t="s">
        <v>4509</v>
      </c>
      <c r="D971" s="1" t="s">
        <v>4510</v>
      </c>
      <c r="E971" s="1" t="s">
        <v>4511</v>
      </c>
      <c r="F971" s="4" t="s">
        <v>17</v>
      </c>
      <c r="G971" s="1" t="s">
        <v>18</v>
      </c>
      <c r="H971" s="1" t="s">
        <v>19</v>
      </c>
      <c r="I971" s="1" t="s">
        <v>20</v>
      </c>
      <c r="J971" s="1" t="s">
        <v>4512</v>
      </c>
      <c r="K971" s="1" t="s">
        <v>22</v>
      </c>
      <c r="L971" s="1" t="str">
        <f>HYPERLINK("https://files.afu.se/Downloads/Transcripts/0%20-%20Government/USA%20-%20NASA%20Kennedy/2015 02 20 - NASA's Kennedy Space Center - New Commercial Crew Access Tower Going Up_ukyeCnrWvGs - transcript (automated).pdf","Transcript Link")</f>
        <v>Transcript Link</v>
      </c>
      <c r="M971" s="2" t="str">
        <f>HYPERLINK("https://files.afu.se/Downloads/Transcripts/0%20-%20Government/USA%20-%20NASA%20Kennedy/2015 02 20 - NASA's Kennedy Space Center - New Commercial Crew Access Tower Going Up_ukyeCnrWvGs - transcript (automated).pdf","Transcript Link")</f>
        <v>Transcript Link</v>
      </c>
    </row>
    <row r="972" ht="180" spans="1:13">
      <c r="A972" s="1" t="s">
        <v>4508</v>
      </c>
      <c r="B972" s="1" t="s">
        <v>13</v>
      </c>
      <c r="C972" s="4" t="s">
        <v>4513</v>
      </c>
      <c r="D972" s="1" t="s">
        <v>4514</v>
      </c>
      <c r="E972" s="1" t="s">
        <v>4515</v>
      </c>
      <c r="F972" s="4" t="s">
        <v>17</v>
      </c>
      <c r="G972" s="1" t="s">
        <v>18</v>
      </c>
      <c r="H972" s="1" t="s">
        <v>19</v>
      </c>
      <c r="I972" s="1" t="s">
        <v>20</v>
      </c>
      <c r="J972" s="1" t="s">
        <v>4516</v>
      </c>
      <c r="K972" s="1" t="s">
        <v>22</v>
      </c>
      <c r="L972" s="1" t="str">
        <f>HYPERLINK("https://files.afu.se/Downloads/Transcripts/0%20-%20Government/USA%20-%20NASA%20Kennedy/2015 02 20 - NASA's Kennedy Space Center - Inside KSC! Feb. 20, 2015_aXmfhsMmA44 - transcript (automated).pdf","Transcript Link")</f>
        <v>Transcript Link</v>
      </c>
      <c r="M972" s="2" t="str">
        <f>HYPERLINK("https://files.afu.se/Downloads/Transcripts/0%20-%20Government/USA%20-%20NASA%20Kennedy/2015 02 20 - NASA's Kennedy Space Center - Inside KSC! Feb. 20, 2015_aXmfhsMmA44 - transcript (automated).pdf","Transcript Link")</f>
        <v>Transcript Link</v>
      </c>
    </row>
    <row r="973" ht="180" spans="1:13">
      <c r="A973" s="1" t="s">
        <v>4517</v>
      </c>
      <c r="B973" s="1" t="s">
        <v>13</v>
      </c>
      <c r="C973" s="4" t="s">
        <v>4518</v>
      </c>
      <c r="D973" s="1" t="s">
        <v>4519</v>
      </c>
      <c r="E973" s="1" t="s">
        <v>4520</v>
      </c>
      <c r="F973" s="4" t="s">
        <v>17</v>
      </c>
      <c r="G973" s="1" t="s">
        <v>18</v>
      </c>
      <c r="H973" s="1" t="s">
        <v>19</v>
      </c>
      <c r="I973" s="1" t="s">
        <v>20</v>
      </c>
      <c r="J973" s="1" t="s">
        <v>4521</v>
      </c>
      <c r="K973" s="1" t="s">
        <v>22</v>
      </c>
      <c r="L973" s="1" t="str">
        <f>HYPERLINK("https://files.afu.se/Downloads/Transcripts/0%20-%20Government/USA%20-%20NASA%20Kennedy/2015 02 18 - NASA's Kennedy Space Center - Kennedy Space Center  A New Era_gxlQqN13fWA - transcript (automated).pdf","Transcript Link")</f>
        <v>Transcript Link</v>
      </c>
      <c r="M973" s="2" t="str">
        <f>HYPERLINK("https://files.afu.se/Downloads/Transcripts/0%20-%20Government/USA%20-%20NASA%20Kennedy/2015 02 18 - NASA's Kennedy Space Center - Kennedy Space Center  A New Era_gxlQqN13fWA - transcript (automated).pdf","Transcript Link")</f>
        <v>Transcript Link</v>
      </c>
    </row>
    <row r="974" ht="180" spans="1:13">
      <c r="A974" s="1" t="s">
        <v>4522</v>
      </c>
      <c r="B974" s="1" t="s">
        <v>13</v>
      </c>
      <c r="C974" s="4" t="s">
        <v>4523</v>
      </c>
      <c r="D974" s="1" t="s">
        <v>4524</v>
      </c>
      <c r="E974" s="1" t="s">
        <v>4525</v>
      </c>
      <c r="F974" s="4" t="s">
        <v>17</v>
      </c>
      <c r="G974" s="1" t="s">
        <v>18</v>
      </c>
      <c r="H974" s="1" t="s">
        <v>19</v>
      </c>
      <c r="I974" s="1" t="s">
        <v>20</v>
      </c>
      <c r="J974" s="1" t="s">
        <v>4526</v>
      </c>
      <c r="K974" s="1" t="s">
        <v>22</v>
      </c>
      <c r="L974" s="1" t="str">
        <f>HYPERLINK("https://files.afu.se/Downloads/Transcripts/0%20-%20Government/USA%20-%20NASA%20Kennedy/2015 02 13 - NASA's Kennedy Space Center - AstroViews  Jeanette Epps_aO0x6Nslwvw - transcript (automated).pdf","Transcript Link")</f>
        <v>Transcript Link</v>
      </c>
      <c r="M974" s="2" t="str">
        <f>HYPERLINK("https://files.afu.se/Downloads/Transcripts/0%20-%20Government/USA%20-%20NASA%20Kennedy/2015 02 13 - NASA's Kennedy Space Center - AstroViews  Jeanette Epps_aO0x6Nslwvw - transcript (automated).pdf","Transcript Link")</f>
        <v>Transcript Link</v>
      </c>
    </row>
    <row r="975" ht="180" spans="1:13">
      <c r="A975" s="1" t="s">
        <v>4522</v>
      </c>
      <c r="B975" s="1" t="s">
        <v>13</v>
      </c>
      <c r="C975" s="4" t="s">
        <v>4527</v>
      </c>
      <c r="D975" s="1" t="s">
        <v>4528</v>
      </c>
      <c r="E975" s="1" t="s">
        <v>4529</v>
      </c>
      <c r="F975" s="4" t="s">
        <v>17</v>
      </c>
      <c r="G975" s="1" t="s">
        <v>18</v>
      </c>
      <c r="H975" s="1" t="s">
        <v>19</v>
      </c>
      <c r="I975" s="1" t="s">
        <v>20</v>
      </c>
      <c r="J975" s="1" t="s">
        <v>4530</v>
      </c>
      <c r="K975" s="1" t="s">
        <v>22</v>
      </c>
      <c r="L975" s="1" t="str">
        <f>HYPERLINK("https://files.afu.se/Downloads/Transcripts/0%20-%20Government/USA%20-%20NASA%20Kennedy/2015 02 13 - NASA's Kennedy Space Center - Inside KSC! Feb. 13, 2015_Tg8Cs-MEyRI - transcript (automated).pdf","Transcript Link")</f>
        <v>Transcript Link</v>
      </c>
      <c r="M975" s="2" t="str">
        <f>HYPERLINK("https://files.afu.se/Downloads/Transcripts/0%20-%20Government/USA%20-%20NASA%20Kennedy/2015 02 13 - NASA's Kennedy Space Center - Inside KSC! Feb. 13, 2015_Tg8Cs-MEyRI - transcript (automated).pdf","Transcript Link")</f>
        <v>Transcript Link</v>
      </c>
    </row>
    <row r="976" ht="180" spans="1:13">
      <c r="A976" s="1" t="s">
        <v>4531</v>
      </c>
      <c r="B976" s="1" t="s">
        <v>13</v>
      </c>
      <c r="C976" s="4" t="s">
        <v>4532</v>
      </c>
      <c r="D976" s="1" t="s">
        <v>4533</v>
      </c>
      <c r="E976" s="1" t="s">
        <v>4534</v>
      </c>
      <c r="F976" s="4" t="s">
        <v>17</v>
      </c>
      <c r="G976" s="1" t="s">
        <v>18</v>
      </c>
      <c r="H976" s="1" t="s">
        <v>19</v>
      </c>
      <c r="I976" s="1" t="s">
        <v>20</v>
      </c>
      <c r="J976" s="1" t="s">
        <v>4535</v>
      </c>
      <c r="K976" s="1" t="s">
        <v>22</v>
      </c>
      <c r="L976" s="1" t="str">
        <f>HYPERLINK("https://files.afu.se/Downloads/Transcripts/0%20-%20Government/USA%20-%20NASA%20Kennedy/2015 02 11 - NASA's Kennedy Space Center - DSCOVR Launches Aboard SpaceX Falcon 9_Pl3x71-kJGM - transcript (automated).pdf","Transcript Link")</f>
        <v>Transcript Link</v>
      </c>
      <c r="M976" s="2" t="str">
        <f>HYPERLINK("https://files.afu.se/Downloads/Transcripts/0%20-%20Government/USA%20-%20NASA%20Kennedy/2015 02 11 - NASA's Kennedy Space Center - DSCOVR Launches Aboard SpaceX Falcon 9_Pl3x71-kJGM - transcript (automated).pdf","Transcript Link")</f>
        <v>Transcript Link</v>
      </c>
    </row>
    <row r="977" ht="180" spans="1:13">
      <c r="A977" s="1" t="s">
        <v>4536</v>
      </c>
      <c r="B977" s="1" t="s">
        <v>13</v>
      </c>
      <c r="C977" s="4" t="s">
        <v>4537</v>
      </c>
      <c r="D977" s="1" t="s">
        <v>4538</v>
      </c>
      <c r="E977" s="1" t="s">
        <v>4539</v>
      </c>
      <c r="F977" s="4" t="s">
        <v>17</v>
      </c>
      <c r="G977" s="1" t="s">
        <v>18</v>
      </c>
      <c r="H977" s="1" t="s">
        <v>19</v>
      </c>
      <c r="I977" s="1" t="s">
        <v>20</v>
      </c>
      <c r="J977" s="1" t="s">
        <v>4540</v>
      </c>
      <c r="K977" s="1" t="s">
        <v>22</v>
      </c>
      <c r="L977" s="1" t="str">
        <f>HYPERLINK("https://files.afu.se/Downloads/Transcripts/0%20-%20Government/USA%20-%20NASA%20Kennedy/2015 02 06 - NASA's Kennedy Space Center - Inside KSC! Feb. 6, 2015_Pv2XGNFFTCQ - transcript (automated).pdf","Transcript Link")</f>
        <v>Transcript Link</v>
      </c>
      <c r="M977" s="2" t="str">
        <f>HYPERLINK("https://files.afu.se/Downloads/Transcripts/0%20-%20Government/USA%20-%20NASA%20Kennedy/2015 02 06 - NASA's Kennedy Space Center - Inside KSC! Feb. 6, 2015_Pv2XGNFFTCQ - transcript (automated).pdf","Transcript Link")</f>
        <v>Transcript Link</v>
      </c>
    </row>
    <row r="978" ht="180" spans="1:13">
      <c r="A978" s="1" t="s">
        <v>4541</v>
      </c>
      <c r="B978" s="1" t="s">
        <v>13</v>
      </c>
      <c r="C978" s="4" t="s">
        <v>4542</v>
      </c>
      <c r="D978" s="1" t="s">
        <v>4543</v>
      </c>
      <c r="E978" s="1" t="s">
        <v>4544</v>
      </c>
      <c r="F978" s="4" t="s">
        <v>17</v>
      </c>
      <c r="G978" s="1" t="s">
        <v>18</v>
      </c>
      <c r="H978" s="1" t="s">
        <v>19</v>
      </c>
      <c r="I978" s="1" t="s">
        <v>20</v>
      </c>
      <c r="J978" s="1" t="s">
        <v>4545</v>
      </c>
      <c r="K978" s="1" t="s">
        <v>22</v>
      </c>
      <c r="L978" s="1" t="str">
        <f>HYPERLINK("https://files.afu.se/Downloads/Transcripts/0%20-%20Government/USA%20-%20NASA%20Kennedy/2015 02 04 - NASA's Kennedy Space Center - Airborne Eagle Surveys Help Protect Wildlife_bxcaCcLhaVI - transcript (automated).pdf","Transcript Link")</f>
        <v>Transcript Link</v>
      </c>
      <c r="M978" s="2" t="str">
        <f>HYPERLINK("https://files.afu.se/Downloads/Transcripts/0%20-%20Government/USA%20-%20NASA%20Kennedy/2015 02 04 - NASA's Kennedy Space Center - Airborne Eagle Surveys Help Protect Wildlife_bxcaCcLhaVI - transcript (automated).pdf","Transcript Link")</f>
        <v>Transcript Link</v>
      </c>
    </row>
    <row r="979" ht="180" spans="1:13">
      <c r="A979" s="1" t="s">
        <v>4546</v>
      </c>
      <c r="B979" s="1" t="s">
        <v>13</v>
      </c>
      <c r="C979" s="4" t="s">
        <v>4547</v>
      </c>
      <c r="D979" s="1" t="s">
        <v>2218</v>
      </c>
      <c r="E979" s="1" t="s">
        <v>4548</v>
      </c>
      <c r="F979" s="4" t="s">
        <v>17</v>
      </c>
      <c r="G979" s="1" t="s">
        <v>18</v>
      </c>
      <c r="H979" s="1" t="s">
        <v>19</v>
      </c>
      <c r="I979" s="1" t="s">
        <v>20</v>
      </c>
      <c r="J979" s="1" t="s">
        <v>4549</v>
      </c>
      <c r="K979" s="1" t="s">
        <v>22</v>
      </c>
      <c r="L979" s="1" t="str">
        <f>HYPERLINK("https://files.afu.se/Downloads/Transcripts/0%20-%20Government/USA%20-%20NASA%20Kennedy/2015 01 31 - NASA's Kennedy Space Center - Interview with NASA Launch Director_ORq-iEJXpkY - transcript (automated).pdf","Transcript Link")</f>
        <v>Transcript Link</v>
      </c>
      <c r="M979" s="2" t="str">
        <f>HYPERLINK("https://files.afu.se/Downloads/Transcripts/0%20-%20Government/USA%20-%20NASA%20Kennedy/2015 01 31 - NASA's Kennedy Space Center - Interview with NASA Launch Director_ORq-iEJXpkY - transcript (automated).pdf","Transcript Link")</f>
        <v>Transcript Link</v>
      </c>
    </row>
    <row r="980" ht="180" spans="1:13">
      <c r="A980" s="1" t="s">
        <v>4546</v>
      </c>
      <c r="B980" s="1" t="s">
        <v>13</v>
      </c>
      <c r="C980" s="4" t="s">
        <v>4550</v>
      </c>
      <c r="D980" s="1" t="s">
        <v>4551</v>
      </c>
      <c r="E980" s="1" t="s">
        <v>4552</v>
      </c>
      <c r="F980" s="4" t="s">
        <v>17</v>
      </c>
      <c r="G980" s="1" t="s">
        <v>18</v>
      </c>
      <c r="H980" s="1" t="s">
        <v>19</v>
      </c>
      <c r="I980" s="1" t="s">
        <v>20</v>
      </c>
      <c r="J980" s="1" t="s">
        <v>4553</v>
      </c>
      <c r="K980" s="1" t="s">
        <v>22</v>
      </c>
      <c r="L980" s="1" t="str">
        <f>HYPERLINK("https://files.afu.se/Downloads/Transcripts/0%20-%20Government/USA%20-%20NASA%20Kennedy/2015 01 31 - NASA's Kennedy Space Center - SMAP Spacecraft Separation_lLY-w5wgPvw - transcript (automated).pdf","Transcript Link")</f>
        <v>Transcript Link</v>
      </c>
      <c r="M980" s="2" t="str">
        <f>HYPERLINK("https://files.afu.se/Downloads/Transcripts/0%20-%20Government/USA%20-%20NASA%20Kennedy/2015 01 31 - NASA's Kennedy Space Center - SMAP Spacecraft Separation_lLY-w5wgPvw - transcript (automated).pdf","Transcript Link")</f>
        <v>Transcript Link</v>
      </c>
    </row>
    <row r="981" ht="180" spans="1:13">
      <c r="A981" s="1" t="s">
        <v>4546</v>
      </c>
      <c r="B981" s="1" t="s">
        <v>13</v>
      </c>
      <c r="C981" s="4" t="s">
        <v>4554</v>
      </c>
      <c r="D981" s="1" t="s">
        <v>4555</v>
      </c>
      <c r="E981" s="1" t="s">
        <v>4556</v>
      </c>
      <c r="F981" s="4" t="s">
        <v>17</v>
      </c>
      <c r="G981" s="1" t="s">
        <v>18</v>
      </c>
      <c r="H981" s="1" t="s">
        <v>19</v>
      </c>
      <c r="I981" s="1" t="s">
        <v>20</v>
      </c>
      <c r="J981" s="1" t="s">
        <v>4557</v>
      </c>
      <c r="K981" s="1" t="s">
        <v>22</v>
      </c>
      <c r="L981" s="1" t="str">
        <f>HYPERLINK("https://files.afu.se/Downloads/Transcripts/0%20-%20Government/USA%20-%20NASA%20Kennedy/2015 01 31 - NASA's Kennedy Space Center - Liftoff of SMAP_uHStsxlqwK8 - transcript (automated).pdf","Transcript Link")</f>
        <v>Transcript Link</v>
      </c>
      <c r="M981" s="2" t="str">
        <f>HYPERLINK("https://files.afu.se/Downloads/Transcripts/0%20-%20Government/USA%20-%20NASA%20Kennedy/2015 01 31 - NASA's Kennedy Space Center - Liftoff of SMAP_uHStsxlqwK8 - transcript (automated).pdf","Transcript Link")</f>
        <v>Transcript Link</v>
      </c>
    </row>
    <row r="982" ht="180" spans="1:13">
      <c r="A982" s="1" t="s">
        <v>4546</v>
      </c>
      <c r="B982" s="1" t="s">
        <v>13</v>
      </c>
      <c r="C982" s="4" t="s">
        <v>4558</v>
      </c>
      <c r="D982" s="1" t="s">
        <v>4559</v>
      </c>
      <c r="E982" s="1" t="s">
        <v>4560</v>
      </c>
      <c r="F982" s="4" t="s">
        <v>17</v>
      </c>
      <c r="G982" s="1" t="s">
        <v>18</v>
      </c>
      <c r="H982" s="1" t="s">
        <v>19</v>
      </c>
      <c r="I982" s="1" t="s">
        <v>20</v>
      </c>
      <c r="J982" s="1" t="s">
        <v>4561</v>
      </c>
      <c r="K982" s="1" t="s">
        <v>22</v>
      </c>
      <c r="L982" s="1" t="str">
        <f>HYPERLINK("https://files.afu.se/Downloads/Transcripts/0%20-%20Government/USA%20-%20NASA%20Kennedy/2015 01 31 - NASA's Kennedy Space Center - SMAP, Delta II  Go  for Launch_N8zsHN6Hfww - transcript (automated).pdf","Transcript Link")</f>
        <v>Transcript Link</v>
      </c>
      <c r="M982" s="2" t="str">
        <f>HYPERLINK("https://files.afu.se/Downloads/Transcripts/0%20-%20Government/USA%20-%20NASA%20Kennedy/2015 01 31 - NASA's Kennedy Space Center - SMAP, Delta II  Go  for Launch_N8zsHN6Hfww - transcript (automated).pdf","Transcript Link")</f>
        <v>Transcript Link</v>
      </c>
    </row>
    <row r="983" ht="180" spans="1:13">
      <c r="A983" s="1" t="s">
        <v>4546</v>
      </c>
      <c r="B983" s="1" t="s">
        <v>13</v>
      </c>
      <c r="C983" s="4" t="s">
        <v>4562</v>
      </c>
      <c r="D983" s="1" t="s">
        <v>4563</v>
      </c>
      <c r="E983" s="1" t="s">
        <v>4564</v>
      </c>
      <c r="F983" s="4" t="s">
        <v>17</v>
      </c>
      <c r="G983" s="1" t="s">
        <v>18</v>
      </c>
      <c r="H983" s="1" t="s">
        <v>19</v>
      </c>
      <c r="I983" s="1" t="s">
        <v>20</v>
      </c>
      <c r="J983" s="1" t="s">
        <v>4565</v>
      </c>
      <c r="K983" s="1" t="s">
        <v>22</v>
      </c>
      <c r="L983" s="1" t="str">
        <f>HYPERLINK("https://files.afu.se/Downloads/Transcripts/0%20-%20Government/USA%20-%20NASA%20Kennedy/2015 01 31 - NASA's Kennedy Space Center - Exploring Careers with LSP_As7GyQ6QTuQ - transcript (automated).pdf","Transcript Link")</f>
        <v>Transcript Link</v>
      </c>
      <c r="M983" s="2" t="str">
        <f>HYPERLINK("https://files.afu.se/Downloads/Transcripts/0%20-%20Government/USA%20-%20NASA%20Kennedy/2015 01 31 - NASA's Kennedy Space Center - Exploring Careers with LSP_As7GyQ6QTuQ - transcript (automated).pdf","Transcript Link")</f>
        <v>Transcript Link</v>
      </c>
    </row>
    <row r="984" ht="180" spans="1:13">
      <c r="A984" s="1" t="s">
        <v>4546</v>
      </c>
      <c r="B984" s="1" t="s">
        <v>13</v>
      </c>
      <c r="C984" s="4" t="s">
        <v>4566</v>
      </c>
      <c r="D984" s="1" t="s">
        <v>4567</v>
      </c>
      <c r="E984" s="1" t="s">
        <v>4568</v>
      </c>
      <c r="F984" s="4" t="s">
        <v>17</v>
      </c>
      <c r="G984" s="1" t="s">
        <v>18</v>
      </c>
      <c r="H984" s="1" t="s">
        <v>19</v>
      </c>
      <c r="I984" s="1" t="s">
        <v>20</v>
      </c>
      <c r="J984" s="1" t="s">
        <v>4569</v>
      </c>
      <c r="K984" s="1" t="s">
        <v>22</v>
      </c>
      <c r="L984" s="1" t="str">
        <f>HYPERLINK("https://files.afu.se/Downloads/Transcripts/0%20-%20Government/USA%20-%20NASA%20Kennedy/2015 01 31 - NASA's Kennedy Space Center - NASA SMAP Ready for Second Attempt at Vandenberg AFB_KIT2pGrLOqc - transcript (automated).pdf","Transcript Link")</f>
        <v>Transcript Link</v>
      </c>
      <c r="M984" s="2" t="str">
        <f>HYPERLINK("https://files.afu.se/Downloads/Transcripts/0%20-%20Government/USA%20-%20NASA%20Kennedy/2015 01 31 - NASA's Kennedy Space Center - NASA SMAP Ready for Second Attempt at Vandenberg AFB_KIT2pGrLOqc - transcript (automated).pdf","Transcript Link")</f>
        <v>Transcript Link</v>
      </c>
    </row>
    <row r="985" ht="180" spans="1:13">
      <c r="A985" s="1" t="s">
        <v>4570</v>
      </c>
      <c r="B985" s="1" t="s">
        <v>13</v>
      </c>
      <c r="C985" s="4" t="s">
        <v>4571</v>
      </c>
      <c r="D985" s="1" t="s">
        <v>4572</v>
      </c>
      <c r="E985" s="1" t="s">
        <v>4573</v>
      </c>
      <c r="F985" s="4" t="s">
        <v>17</v>
      </c>
      <c r="G985" s="1" t="s">
        <v>18</v>
      </c>
      <c r="H985" s="1" t="s">
        <v>19</v>
      </c>
      <c r="I985" s="1" t="s">
        <v>20</v>
      </c>
      <c r="J985" s="1" t="s">
        <v>4574</v>
      </c>
      <c r="K985" s="1" t="s">
        <v>22</v>
      </c>
      <c r="L985" s="1" t="str">
        <f>HYPERLINK("https://files.afu.se/Downloads/Transcripts/0%20-%20Government/USA%20-%20NASA%20Kennedy/2015 01 30 - NASA's Kennedy Space Center - Inside KSC! Jan. 30, 2015_Q0Ak5mpQXkQ - transcript (automated).pdf","Transcript Link")</f>
        <v>Transcript Link</v>
      </c>
      <c r="M985" s="2" t="str">
        <f>HYPERLINK("https://files.afu.se/Downloads/Transcripts/0%20-%20Government/USA%20-%20NASA%20Kennedy/2015 01 30 - NASA's Kennedy Space Center - Inside KSC! Jan. 30, 2015_Q0Ak5mpQXkQ - transcript (automated).pdf","Transcript Link")</f>
        <v>Transcript Link</v>
      </c>
    </row>
    <row r="986" ht="180" spans="1:13">
      <c r="A986" s="1" t="s">
        <v>4575</v>
      </c>
      <c r="B986" s="1" t="s">
        <v>13</v>
      </c>
      <c r="C986" s="4" t="s">
        <v>4576</v>
      </c>
      <c r="D986" s="1" t="s">
        <v>4577</v>
      </c>
      <c r="E986" s="1" t="s">
        <v>4578</v>
      </c>
      <c r="F986" s="4" t="s">
        <v>17</v>
      </c>
      <c r="G986" s="1" t="s">
        <v>18</v>
      </c>
      <c r="H986" s="1" t="s">
        <v>19</v>
      </c>
      <c r="I986" s="1" t="s">
        <v>20</v>
      </c>
      <c r="J986" s="1" t="s">
        <v>4579</v>
      </c>
      <c r="K986" s="1" t="s">
        <v>22</v>
      </c>
      <c r="L986" s="1" t="str">
        <f>HYPERLINK("https://files.afu.se/Downloads/Transcripts/0%20-%20Government/USA%20-%20NASA%20Kennedy/2015 01 29 - NASA's Kennedy Space Center - SMAP Launch Postponed_f1gLEatOSe8 - transcript (automated).pdf","Transcript Link")</f>
        <v>Transcript Link</v>
      </c>
      <c r="M986" s="2" t="str">
        <f>HYPERLINK("https://files.afu.se/Downloads/Transcripts/0%20-%20Government/USA%20-%20NASA%20Kennedy/2015 01 29 - NASA's Kennedy Space Center - SMAP Launch Postponed_f1gLEatOSe8 - transcript (automated).pdf","Transcript Link")</f>
        <v>Transcript Link</v>
      </c>
    </row>
    <row r="987" ht="180" spans="1:13">
      <c r="A987" s="1" t="s">
        <v>4575</v>
      </c>
      <c r="B987" s="1" t="s">
        <v>13</v>
      </c>
      <c r="C987" s="4" t="s">
        <v>4580</v>
      </c>
      <c r="D987" s="1" t="s">
        <v>4581</v>
      </c>
      <c r="E987" s="1" t="s">
        <v>4582</v>
      </c>
      <c r="F987" s="4" t="s">
        <v>17</v>
      </c>
      <c r="G987" s="1" t="s">
        <v>18</v>
      </c>
      <c r="H987" s="1" t="s">
        <v>19</v>
      </c>
      <c r="I987" s="1" t="s">
        <v>20</v>
      </c>
      <c r="J987" s="1" t="s">
        <v>4583</v>
      </c>
      <c r="K987" s="1" t="s">
        <v>22</v>
      </c>
      <c r="L987" s="1" t="str">
        <f>HYPERLINK("https://files.afu.se/Downloads/Transcripts/0%20-%20Government/USA%20-%20NASA%20Kennedy/2015 01 29 - NASA's Kennedy Space Center - NASA SMAP Countdown Underway at Vandenberg AFB_JWnX9TtGVxY - transcript (automated).pdf","Transcript Link")</f>
        <v>Transcript Link</v>
      </c>
      <c r="M987" s="2" t="str">
        <f>HYPERLINK("https://files.afu.se/Downloads/Transcripts/0%20-%20Government/USA%20-%20NASA%20Kennedy/2015 01 29 - NASA's Kennedy Space Center - NASA SMAP Countdown Underway at Vandenberg AFB_JWnX9TtGVxY - transcript (automated).pdf","Transcript Link")</f>
        <v>Transcript Link</v>
      </c>
    </row>
    <row r="988" ht="180" spans="1:13">
      <c r="A988" s="1" t="s">
        <v>4575</v>
      </c>
      <c r="B988" s="1" t="s">
        <v>13</v>
      </c>
      <c r="C988" s="4" t="s">
        <v>4584</v>
      </c>
      <c r="D988" s="1" t="s">
        <v>4585</v>
      </c>
      <c r="E988" s="1" t="s">
        <v>4586</v>
      </c>
      <c r="F988" s="4" t="s">
        <v>17</v>
      </c>
      <c r="G988" s="1" t="s">
        <v>18</v>
      </c>
      <c r="H988" s="1" t="s">
        <v>19</v>
      </c>
      <c r="I988" s="1" t="s">
        <v>20</v>
      </c>
      <c r="J988" s="1" t="s">
        <v>4587</v>
      </c>
      <c r="K988" s="1" t="s">
        <v>22</v>
      </c>
      <c r="L988" s="1" t="str">
        <f>HYPERLINK("https://files.afu.se/Downloads/Transcripts/0%20-%20Government/USA%20-%20NASA%20Kennedy/2015 01 29 - NASA's Kennedy Space Center - Launch Pad Gantry Rolls back for SMAP Launch_CTVBAsQbF9Q - transcript (automated).pdf","Transcript Link")</f>
        <v>Transcript Link</v>
      </c>
      <c r="M988" s="2" t="str">
        <f>HYPERLINK("https://files.afu.se/Downloads/Transcripts/0%20-%20Government/USA%20-%20NASA%20Kennedy/2015 01 29 - NASA's Kennedy Space Center - Launch Pad Gantry Rolls back for SMAP Launch_CTVBAsQbF9Q - transcript (automated).pdf","Transcript Link")</f>
        <v>Transcript Link</v>
      </c>
    </row>
    <row r="989" ht="180" spans="1:13">
      <c r="A989" s="1" t="s">
        <v>4588</v>
      </c>
      <c r="B989" s="1" t="s">
        <v>13</v>
      </c>
      <c r="C989" s="4" t="s">
        <v>4589</v>
      </c>
      <c r="D989" s="1" t="s">
        <v>4590</v>
      </c>
      <c r="E989" s="1" t="s">
        <v>4591</v>
      </c>
      <c r="F989" s="4" t="s">
        <v>17</v>
      </c>
      <c r="G989" s="1" t="s">
        <v>18</v>
      </c>
      <c r="H989" s="1" t="s">
        <v>19</v>
      </c>
      <c r="I989" s="1" t="s">
        <v>20</v>
      </c>
      <c r="J989" s="1" t="s">
        <v>4592</v>
      </c>
      <c r="K989" s="1" t="s">
        <v>22</v>
      </c>
      <c r="L989" s="1" t="str">
        <f>HYPERLINK("https://files.afu.se/Downloads/Transcripts/0%20-%20Government/USA%20-%20NASA%20Kennedy/2015 01 27 - NASA's Kennedy Space Center - Suni Williams  Commercial Crew a Natural Station Partner_ro2gcZjxFak - transcript (automated).pdf","Transcript Link")</f>
        <v>Transcript Link</v>
      </c>
      <c r="M989" s="2" t="str">
        <f>HYPERLINK("https://files.afu.se/Downloads/Transcripts/0%20-%20Government/USA%20-%20NASA%20Kennedy/2015 01 27 - NASA's Kennedy Space Center - Suni Williams  Commercial Crew a Natural Station Partner_ro2gcZjxFak - transcript (automated).pdf","Transcript Link")</f>
        <v>Transcript Link</v>
      </c>
    </row>
    <row r="990" ht="180" spans="1:13">
      <c r="A990" s="1" t="s">
        <v>4588</v>
      </c>
      <c r="B990" s="1" t="s">
        <v>13</v>
      </c>
      <c r="C990" s="4" t="s">
        <v>4593</v>
      </c>
      <c r="D990" s="1" t="s">
        <v>4594</v>
      </c>
      <c r="E990" s="1" t="s">
        <v>4595</v>
      </c>
      <c r="F990" s="4" t="s">
        <v>17</v>
      </c>
      <c r="G990" s="1" t="s">
        <v>18</v>
      </c>
      <c r="H990" s="1" t="s">
        <v>19</v>
      </c>
      <c r="I990" s="1" t="s">
        <v>20</v>
      </c>
      <c r="J990" s="1" t="s">
        <v>4596</v>
      </c>
      <c r="K990" s="1" t="s">
        <v>22</v>
      </c>
      <c r="L990" s="1" t="str">
        <f>HYPERLINK("https://files.afu.se/Downloads/Transcripts/0%20-%20Government/USA%20-%20NASA%20Kennedy/2015 01 27 - NASA's Kennedy Space Center - SMAP Poised to Launch on Soil Survey Flight_lABnMHy5HUU - transcript (automated).pdf","Transcript Link")</f>
        <v>Transcript Link</v>
      </c>
      <c r="M990" s="2" t="str">
        <f>HYPERLINK("https://files.afu.se/Downloads/Transcripts/0%20-%20Government/USA%20-%20NASA%20Kennedy/2015 01 27 - NASA's Kennedy Space Center - SMAP Poised to Launch on Soil Survey Flight_lABnMHy5HUU - transcript (automated).pdf","Transcript Link")</f>
        <v>Transcript Link</v>
      </c>
    </row>
    <row r="991" ht="180" spans="1:13">
      <c r="A991" s="1" t="s">
        <v>4588</v>
      </c>
      <c r="B991" s="1" t="s">
        <v>13</v>
      </c>
      <c r="C991" s="4" t="s">
        <v>4597</v>
      </c>
      <c r="D991" s="1" t="s">
        <v>4598</v>
      </c>
      <c r="E991" s="1" t="s">
        <v>4599</v>
      </c>
      <c r="F991" s="4" t="s">
        <v>17</v>
      </c>
      <c r="G991" s="1" t="s">
        <v>18</v>
      </c>
      <c r="H991" s="1" t="s">
        <v>19</v>
      </c>
      <c r="I991" s="1" t="s">
        <v>20</v>
      </c>
      <c r="J991" s="1" t="s">
        <v>4600</v>
      </c>
      <c r="K991" s="1" t="s">
        <v>22</v>
      </c>
      <c r="L991" s="1" t="str">
        <f>HYPERLINK("https://files.afu.se/Downloads/Transcripts/0%20-%20Government/USA%20-%20NASA%20Kennedy/2015 01 27 - NASA's Kennedy Space Center - Soil Mapping Spacecraft Ready for Flight_cJCjVLEROVw - transcript (automated).pdf","Transcript Link")</f>
        <v>Transcript Link</v>
      </c>
      <c r="M991" s="2" t="str">
        <f>HYPERLINK("https://files.afu.se/Downloads/Transcripts/0%20-%20Government/USA%20-%20NASA%20Kennedy/2015 01 27 - NASA's Kennedy Space Center - Soil Mapping Spacecraft Ready for Flight_cJCjVLEROVw - transcript (automated).pdf","Transcript Link")</f>
        <v>Transcript Link</v>
      </c>
    </row>
    <row r="992" ht="180" spans="1:13">
      <c r="A992" s="1" t="s">
        <v>4588</v>
      </c>
      <c r="B992" s="1" t="s">
        <v>13</v>
      </c>
      <c r="C992" s="4" t="s">
        <v>4601</v>
      </c>
      <c r="D992" s="1" t="s">
        <v>4602</v>
      </c>
      <c r="E992" s="1" t="s">
        <v>4603</v>
      </c>
      <c r="F992" s="4" t="s">
        <v>17</v>
      </c>
      <c r="G992" s="1" t="s">
        <v>18</v>
      </c>
      <c r="H992" s="1" t="s">
        <v>19</v>
      </c>
      <c r="I992" s="1" t="s">
        <v>20</v>
      </c>
      <c r="J992" s="1" t="s">
        <v>4604</v>
      </c>
      <c r="K992" s="1" t="s">
        <v>22</v>
      </c>
      <c r="L992" s="1" t="str">
        <f>HYPERLINK("https://files.afu.se/Downloads/Transcripts/0%20-%20Government/USA%20-%20NASA%20Kennedy/2015 01 27 - NASA's Kennedy Space Center - Inside KSC! Jan. 27, 2015_9QtuhB6fgB8 - transcript (automated).pdf","Transcript Link")</f>
        <v>Transcript Link</v>
      </c>
      <c r="M992" s="2" t="str">
        <f>HYPERLINK("https://files.afu.se/Downloads/Transcripts/0%20-%20Government/USA%20-%20NASA%20Kennedy/2015 01 27 - NASA's Kennedy Space Center - Inside KSC! Jan. 27, 2015_9QtuhB6fgB8 - transcript (automated).pdf","Transcript Link")</f>
        <v>Transcript Link</v>
      </c>
    </row>
    <row r="993" ht="180" spans="1:13">
      <c r="A993" s="1" t="s">
        <v>4605</v>
      </c>
      <c r="B993" s="1" t="s">
        <v>13</v>
      </c>
      <c r="C993" s="4" t="s">
        <v>4606</v>
      </c>
      <c r="D993" s="1" t="s">
        <v>4607</v>
      </c>
      <c r="E993" s="1" t="s">
        <v>4608</v>
      </c>
      <c r="F993" s="4" t="s">
        <v>17</v>
      </c>
      <c r="G993" s="1" t="s">
        <v>18</v>
      </c>
      <c r="H993" s="1" t="s">
        <v>19</v>
      </c>
      <c r="I993" s="1" t="s">
        <v>20</v>
      </c>
      <c r="J993" s="1" t="s">
        <v>4609</v>
      </c>
      <c r="K993" s="1" t="s">
        <v>22</v>
      </c>
      <c r="L993" s="1" t="str">
        <f>HYPERLINK("https://files.afu.se/Downloads/Transcripts/0%20-%20Government/USA%20-%20NASA%20Kennedy/2015 01 16 - NASA's Kennedy Space Center - Inside KSC! Jan. 16, 2015_cc6y_V3YQKU - transcript (automated).pdf","Transcript Link")</f>
        <v>Transcript Link</v>
      </c>
      <c r="M993" s="2" t="str">
        <f>HYPERLINK("https://files.afu.se/Downloads/Transcripts/0%20-%20Government/USA%20-%20NASA%20Kennedy/2015 01 16 - NASA's Kennedy Space Center - Inside KSC! Jan. 16, 2015_cc6y_V3YQKU - transcript (automated).pdf","Transcript Link")</f>
        <v>Transcript Link</v>
      </c>
    </row>
    <row r="994" ht="180" spans="1:13">
      <c r="A994" s="1" t="s">
        <v>4610</v>
      </c>
      <c r="B994" s="1" t="s">
        <v>13</v>
      </c>
      <c r="C994" s="4" t="s">
        <v>4611</v>
      </c>
      <c r="D994" s="1" t="s">
        <v>4612</v>
      </c>
      <c r="E994" s="1" t="s">
        <v>4613</v>
      </c>
      <c r="F994" s="4" t="s">
        <v>17</v>
      </c>
      <c r="G994" s="1" t="s">
        <v>18</v>
      </c>
      <c r="H994" s="1" t="s">
        <v>19</v>
      </c>
      <c r="I994" s="1" t="s">
        <v>20</v>
      </c>
      <c r="J994" s="1" t="s">
        <v>4614</v>
      </c>
      <c r="K994" s="1" t="s">
        <v>22</v>
      </c>
      <c r="L994" s="1" t="str">
        <f>HYPERLINK("https://files.afu.se/Downloads/Transcripts/0%20-%20Government/USA%20-%20NASA%20Kennedy/2015 01 10 - NASA's Kennedy Space Center - Liftoff of SpaceX CRS-5_33BZi6JC5ZU - transcript (automated).pdf","Transcript Link")</f>
        <v>Transcript Link</v>
      </c>
      <c r="M994" s="2" t="str">
        <f>HYPERLINK("https://files.afu.se/Downloads/Transcripts/0%20-%20Government/USA%20-%20NASA%20Kennedy/2015 01 10 - NASA's Kennedy Space Center - Liftoff of SpaceX CRS-5_33BZi6JC5ZU - transcript (automated).pdf","Transcript Link")</f>
        <v>Transcript Link</v>
      </c>
    </row>
    <row r="995" ht="180" spans="1:13">
      <c r="A995" s="1" t="s">
        <v>4610</v>
      </c>
      <c r="B995" s="1" t="s">
        <v>13</v>
      </c>
      <c r="C995" s="4" t="s">
        <v>4615</v>
      </c>
      <c r="D995" s="1" t="s">
        <v>4616</v>
      </c>
      <c r="E995" s="1" t="s">
        <v>4617</v>
      </c>
      <c r="F995" s="4" t="s">
        <v>17</v>
      </c>
      <c r="G995" s="1" t="s">
        <v>18</v>
      </c>
      <c r="H995" s="1" t="s">
        <v>19</v>
      </c>
      <c r="I995" s="1" t="s">
        <v>20</v>
      </c>
      <c r="J995" s="1" t="s">
        <v>4618</v>
      </c>
      <c r="K995" s="1" t="s">
        <v>22</v>
      </c>
      <c r="L995" s="1" t="str">
        <f>HYPERLINK("https://files.afu.se/Downloads/Transcripts/0%20-%20Government/USA%20-%20NASA%20Kennedy/2015 01 10 - NASA's Kennedy Space Center - Falcon 9 Ready for Launch_R9eFWwLGYPM - transcript (automated).pdf","Transcript Link")</f>
        <v>Transcript Link</v>
      </c>
      <c r="M995" s="2" t="str">
        <f>HYPERLINK("https://files.afu.se/Downloads/Transcripts/0%20-%20Government/USA%20-%20NASA%20Kennedy/2015 01 10 - NASA's Kennedy Space Center - Falcon 9 Ready for Launch_R9eFWwLGYPM - transcript (automated).pdf","Transcript Link")</f>
        <v>Transcript Link</v>
      </c>
    </row>
    <row r="996" ht="180" spans="1:13">
      <c r="A996" s="1" t="s">
        <v>4619</v>
      </c>
      <c r="B996" s="1" t="s">
        <v>13</v>
      </c>
      <c r="C996" s="4" t="s">
        <v>4620</v>
      </c>
      <c r="D996" s="1" t="s">
        <v>4621</v>
      </c>
      <c r="E996" s="1" t="s">
        <v>4622</v>
      </c>
      <c r="F996" s="4" t="s">
        <v>17</v>
      </c>
      <c r="G996" s="1" t="s">
        <v>18</v>
      </c>
      <c r="H996" s="1" t="s">
        <v>19</v>
      </c>
      <c r="I996" s="1" t="s">
        <v>20</v>
      </c>
      <c r="J996" s="1" t="s">
        <v>4623</v>
      </c>
      <c r="K996" s="1" t="s">
        <v>22</v>
      </c>
      <c r="L996" s="1" t="str">
        <f>HYPERLINK("https://files.afu.se/Downloads/Transcripts/0%20-%20Government/USA%20-%20NASA%20Kennedy/2015 01 09 - NASA's Kennedy Space Center - Inside KSC! Jan. 9, 2015_2ngNQRGqdWs - transcript (automated).pdf","Transcript Link")</f>
        <v>Transcript Link</v>
      </c>
      <c r="M996" s="2" t="str">
        <f>HYPERLINK("https://files.afu.se/Downloads/Transcripts/0%20-%20Government/USA%20-%20NASA%20Kennedy/2015 01 09 - NASA's Kennedy Space Center - Inside KSC! Jan. 9, 2015_2ngNQRGqdWs - transcript (automated).pdf","Transcript Link")</f>
        <v>Transcript Link</v>
      </c>
    </row>
    <row r="997" ht="180" spans="1:13">
      <c r="A997" s="1" t="s">
        <v>4624</v>
      </c>
      <c r="B997" s="1" t="s">
        <v>13</v>
      </c>
      <c r="C997" s="4" t="s">
        <v>4625</v>
      </c>
      <c r="D997" s="1" t="s">
        <v>4626</v>
      </c>
      <c r="E997" s="1" t="s">
        <v>4627</v>
      </c>
      <c r="F997" s="4" t="s">
        <v>17</v>
      </c>
      <c r="G997" s="1" t="s">
        <v>18</v>
      </c>
      <c r="H997" s="1" t="s">
        <v>19</v>
      </c>
      <c r="I997" s="1" t="s">
        <v>20</v>
      </c>
      <c r="J997" s="1" t="s">
        <v>4628</v>
      </c>
      <c r="K997" s="1" t="s">
        <v>22</v>
      </c>
      <c r="L997" s="1" t="str">
        <f>HYPERLINK("https://files.afu.se/Downloads/Transcripts/0%20-%20Government/USA%20-%20NASA%20Kennedy/2014 12 19 - NASA's Kennedy Space Center - Inside KSC! Dec. 19, 2014_6j77Nabl6c8 - transcript (automated).pdf","Transcript Link")</f>
        <v>Transcript Link</v>
      </c>
      <c r="M997" s="2" t="str">
        <f>HYPERLINK("https://files.afu.se/Downloads/Transcripts/0%20-%20Government/USA%20-%20NASA%20Kennedy/2014 12 19 - NASA's Kennedy Space Center - Inside KSC! Dec. 19, 2014_6j77Nabl6c8 - transcript (automated).pdf","Transcript Link")</f>
        <v>Transcript Link</v>
      </c>
    </row>
    <row r="998" ht="180" spans="1:13">
      <c r="A998" s="1" t="s">
        <v>4629</v>
      </c>
      <c r="B998" s="1" t="s">
        <v>13</v>
      </c>
      <c r="C998" s="4" t="s">
        <v>4630</v>
      </c>
      <c r="D998" s="1" t="s">
        <v>4631</v>
      </c>
      <c r="E998" s="1" t="s">
        <v>4632</v>
      </c>
      <c r="F998" s="4" t="s">
        <v>17</v>
      </c>
      <c r="G998" s="1" t="s">
        <v>18</v>
      </c>
      <c r="H998" s="1" t="s">
        <v>19</v>
      </c>
      <c r="I998" s="1" t="s">
        <v>20</v>
      </c>
      <c r="J998" s="1" t="s">
        <v>4633</v>
      </c>
      <c r="K998" s="1" t="s">
        <v>22</v>
      </c>
      <c r="L998" s="1" t="str">
        <f>HYPERLINK("https://files.afu.se/Downloads/Transcripts/0%20-%20Government/USA%20-%20NASA%20Kennedy/2014 12 18 - NASA's Kennedy Space Center - Orion Spacecraft Returns to NASA’s Kennedy Space Center_TxQKihqPiOc - transcript (automated).pdf","Transcript Link")</f>
        <v>Transcript Link</v>
      </c>
      <c r="M998" s="2" t="str">
        <f>HYPERLINK("https://files.afu.se/Downloads/Transcripts/0%20-%20Government/USA%20-%20NASA%20Kennedy/2014 12 18 - NASA's Kennedy Space Center - Orion Spacecraft Returns to NASA’s Kennedy Space Center_TxQKihqPiOc - transcript (automated).pdf","Transcript Link")</f>
        <v>Transcript Link</v>
      </c>
    </row>
    <row r="999" ht="180" spans="1:13">
      <c r="A999" s="1" t="s">
        <v>4634</v>
      </c>
      <c r="B999" s="1" t="s">
        <v>13</v>
      </c>
      <c r="C999" s="4" t="s">
        <v>4635</v>
      </c>
      <c r="D999" s="1" t="s">
        <v>4636</v>
      </c>
      <c r="E999" s="1" t="s">
        <v>4637</v>
      </c>
      <c r="F999" s="4" t="s">
        <v>17</v>
      </c>
      <c r="G999" s="1" t="s">
        <v>18</v>
      </c>
      <c r="H999" s="1" t="s">
        <v>19</v>
      </c>
      <c r="I999" s="1" t="s">
        <v>20</v>
      </c>
      <c r="J999" s="1" t="s">
        <v>4638</v>
      </c>
      <c r="K999" s="1" t="s">
        <v>22</v>
      </c>
      <c r="L999" s="1" t="str">
        <f>HYPERLINK("https://files.afu.se/Downloads/Transcripts/0%20-%20Government/USA%20-%20NASA%20Kennedy/2014 12 16 - NASA's Kennedy Space Center - Morpheus Soars in Free Flight 15_FzB6dNLoWIQ - transcript (automated).pdf","Transcript Link")</f>
        <v>Transcript Link</v>
      </c>
      <c r="M999" s="2" t="str">
        <f>HYPERLINK("https://files.afu.se/Downloads/Transcripts/0%20-%20Government/USA%20-%20NASA%20Kennedy/2014 12 16 - NASA's Kennedy Space Center - Morpheus Soars in Free Flight 15_FzB6dNLoWIQ - transcript (automated).pdf","Transcript Link")</f>
        <v>Transcript Link</v>
      </c>
    </row>
    <row r="1000" ht="180" spans="1:13">
      <c r="A1000" s="1" t="s">
        <v>4639</v>
      </c>
      <c r="B1000" s="1" t="s">
        <v>13</v>
      </c>
      <c r="C1000" s="4" t="s">
        <v>4640</v>
      </c>
      <c r="D1000" s="1" t="s">
        <v>4641</v>
      </c>
      <c r="E1000" s="1" t="s">
        <v>4642</v>
      </c>
      <c r="F1000" s="4" t="s">
        <v>17</v>
      </c>
      <c r="G1000" s="1" t="s">
        <v>18</v>
      </c>
      <c r="H1000" s="1" t="s">
        <v>19</v>
      </c>
      <c r="I1000" s="1" t="s">
        <v>20</v>
      </c>
      <c r="J1000" s="1" t="s">
        <v>4643</v>
      </c>
      <c r="K1000" s="1" t="s">
        <v>22</v>
      </c>
      <c r="L1000" s="1" t="str">
        <f>HYPERLINK("https://files.afu.se/Downloads/Transcripts/0%20-%20Government/USA%20-%20NASA%20Kennedy/2014 12 15 - NASA's Kennedy Space Center - Inside KSC! Dec. 15, 2014_wa3zEERxSGU - transcript (automated).pdf","Transcript Link")</f>
        <v>Transcript Link</v>
      </c>
      <c r="M1000" s="2" t="str">
        <f>HYPERLINK("https://files.afu.se/Downloads/Transcripts/0%20-%20Government/USA%20-%20NASA%20Kennedy/2014 12 15 - NASA's Kennedy Space Center - Inside KSC! Dec. 15, 2014_wa3zEERxSGU - transcript (automated).pdf","Transcript Link")</f>
        <v>Transcript Link</v>
      </c>
    </row>
    <row r="1001" ht="180" spans="1:13">
      <c r="A1001" s="1" t="s">
        <v>4644</v>
      </c>
      <c r="B1001" s="1" t="s">
        <v>13</v>
      </c>
      <c r="C1001" s="4" t="s">
        <v>4645</v>
      </c>
      <c r="D1001" s="1" t="s">
        <v>4646</v>
      </c>
      <c r="E1001" s="1" t="s">
        <v>4647</v>
      </c>
      <c r="F1001" s="4" t="s">
        <v>17</v>
      </c>
      <c r="G1001" s="1" t="s">
        <v>18</v>
      </c>
      <c r="H1001" s="1" t="s">
        <v>19</v>
      </c>
      <c r="I1001" s="1" t="s">
        <v>20</v>
      </c>
      <c r="J1001" s="1" t="s">
        <v>4648</v>
      </c>
      <c r="K1001" s="1" t="s">
        <v>22</v>
      </c>
      <c r="L1001" s="1" t="str">
        <f>HYPERLINK("https://files.afu.se/Downloads/Transcripts/0%20-%20Government/USA%20-%20NASA%20Kennedy/2014 12 08 - NASA's Kennedy Space Center - Inside KSC! Dec. 8, 2014_gIfPK7-9aR4 - transcript (automated).pdf","Transcript Link")</f>
        <v>Transcript Link</v>
      </c>
      <c r="M1001" s="2" t="str">
        <f>HYPERLINK("https://files.afu.se/Downloads/Transcripts/0%20-%20Government/USA%20-%20NASA%20Kennedy/2014 12 08 - NASA's Kennedy Space Center - Inside KSC! Dec. 8, 2014_gIfPK7-9aR4 - transcript (automated).pdf","Transcript Link")</f>
        <v>Transcript Link</v>
      </c>
    </row>
    <row r="1002" ht="180" spans="1:13">
      <c r="A1002" s="1" t="s">
        <v>4649</v>
      </c>
      <c r="B1002" s="1" t="s">
        <v>13</v>
      </c>
      <c r="C1002" s="4" t="s">
        <v>4650</v>
      </c>
      <c r="D1002" s="1" t="s">
        <v>4651</v>
      </c>
      <c r="E1002" s="1" t="s">
        <v>4652</v>
      </c>
      <c r="F1002" s="4" t="s">
        <v>17</v>
      </c>
      <c r="G1002" s="1" t="s">
        <v>18</v>
      </c>
      <c r="H1002" s="1" t="s">
        <v>19</v>
      </c>
      <c r="I1002" s="1" t="s">
        <v>20</v>
      </c>
      <c r="J1002" s="1" t="s">
        <v>4653</v>
      </c>
      <c r="K1002" s="1" t="s">
        <v>22</v>
      </c>
      <c r="L1002" s="1" t="str">
        <f>HYPERLINK("https://files.afu.se/Downloads/Transcripts/0%20-%20Government/USA%20-%20NASA%20Kennedy/2014 12 05 - NASA's Kennedy Space Center - Orion From the Recovery Ship_LoItSvCBN0U - transcript (automated).pdf","Transcript Link")</f>
        <v>Transcript Link</v>
      </c>
      <c r="M1002" s="2" t="str">
        <f>HYPERLINK("https://files.afu.se/Downloads/Transcripts/0%20-%20Government/USA%20-%20NASA%20Kennedy/2014 12 05 - NASA's Kennedy Space Center - Orion From the Recovery Ship_LoItSvCBN0U - transcript (automated).pdf","Transcript Link")</f>
        <v>Transcript Link</v>
      </c>
    </row>
    <row r="1003" ht="180" spans="1:13">
      <c r="A1003" s="1" t="s">
        <v>4649</v>
      </c>
      <c r="B1003" s="1" t="s">
        <v>13</v>
      </c>
      <c r="C1003" s="4" t="s">
        <v>4654</v>
      </c>
      <c r="D1003" s="1" t="s">
        <v>4655</v>
      </c>
      <c r="E1003" s="1" t="s">
        <v>4656</v>
      </c>
      <c r="F1003" s="4" t="s">
        <v>17</v>
      </c>
      <c r="G1003" s="1" t="s">
        <v>18</v>
      </c>
      <c r="H1003" s="1" t="s">
        <v>19</v>
      </c>
      <c r="I1003" s="1" t="s">
        <v>20</v>
      </c>
      <c r="J1003" s="1" t="s">
        <v>4657</v>
      </c>
      <c r="K1003" s="1" t="s">
        <v>22</v>
      </c>
      <c r="L1003" s="1" t="str">
        <f>HYPERLINK("https://files.afu.se/Downloads/Transcripts/0%20-%20Government/USA%20-%20NASA%20Kennedy/2014 12 05 - NASA's Kennedy Space Center - Orion Splashdown_tdmZAvwznOU - transcript (automated).pdf","Transcript Link")</f>
        <v>Transcript Link</v>
      </c>
      <c r="M1003" s="2" t="str">
        <f>HYPERLINK("https://files.afu.se/Downloads/Transcripts/0%20-%20Government/USA%20-%20NASA%20Kennedy/2014 12 05 - NASA's Kennedy Space Center - Orion Splashdown_tdmZAvwznOU - transcript (automated).pdf","Transcript Link")</f>
        <v>Transcript Link</v>
      </c>
    </row>
    <row r="1004" ht="180" spans="1:13">
      <c r="A1004" s="1" t="s">
        <v>4649</v>
      </c>
      <c r="B1004" s="1" t="s">
        <v>13</v>
      </c>
      <c r="C1004" s="4" t="s">
        <v>4658</v>
      </c>
      <c r="D1004" s="1" t="s">
        <v>4659</v>
      </c>
      <c r="E1004" s="1" t="s">
        <v>4660</v>
      </c>
      <c r="F1004" s="4" t="s">
        <v>17</v>
      </c>
      <c r="G1004" s="1" t="s">
        <v>18</v>
      </c>
      <c r="H1004" s="1" t="s">
        <v>19</v>
      </c>
      <c r="I1004" s="1" t="s">
        <v>20</v>
      </c>
      <c r="J1004" s="1" t="s">
        <v>4661</v>
      </c>
      <c r="K1004" s="1" t="s">
        <v>22</v>
      </c>
      <c r="L1004" s="1" t="str">
        <f>HYPERLINK("https://files.afu.se/Downloads/Transcripts/0%20-%20Government/USA%20-%20NASA%20Kennedy/2014 12 05 - NASA's Kennedy Space Center - Orion, Delta IV Heavy Liftoff-Up Close_TDYK_qW6qHE - transcript (automated).pdf","Transcript Link")</f>
        <v>Transcript Link</v>
      </c>
      <c r="M1004" s="2" t="str">
        <f>HYPERLINK("https://files.afu.se/Downloads/Transcripts/0%20-%20Government/USA%20-%20NASA%20Kennedy/2014 12 05 - NASA's Kennedy Space Center - Orion, Delta IV Heavy Liftoff-Up Close_TDYK_qW6qHE - transcript (automated).pdf","Transcript Link")</f>
        <v>Transcript Link</v>
      </c>
    </row>
    <row r="1005" ht="180" spans="1:13">
      <c r="A1005" s="1" t="s">
        <v>4649</v>
      </c>
      <c r="B1005" s="1" t="s">
        <v>13</v>
      </c>
      <c r="C1005" s="4" t="s">
        <v>4662</v>
      </c>
      <c r="D1005" s="1" t="s">
        <v>4663</v>
      </c>
      <c r="E1005" s="1" t="s">
        <v>4664</v>
      </c>
      <c r="F1005" s="4" t="s">
        <v>17</v>
      </c>
      <c r="G1005" s="1" t="s">
        <v>18</v>
      </c>
      <c r="H1005" s="1" t="s">
        <v>19</v>
      </c>
      <c r="I1005" s="1" t="s">
        <v>20</v>
      </c>
      <c r="J1005" s="1" t="s">
        <v>4665</v>
      </c>
      <c r="K1005" s="1" t="s">
        <v>22</v>
      </c>
      <c r="L1005" s="1" t="str">
        <f>HYPERLINK("https://files.afu.se/Downloads/Transcripts/0%20-%20Government/USA%20-%20NASA%20Kennedy/2014 12 05 - NASA's Kennedy Space Center - NASA's Orion Ready for Launch_u1rOp66VqpU - transcript (automated).pdf","Transcript Link")</f>
        <v>Transcript Link</v>
      </c>
      <c r="M1005" s="2" t="str">
        <f>HYPERLINK("https://files.afu.se/Downloads/Transcripts/0%20-%20Government/USA%20-%20NASA%20Kennedy/2014 12 05 - NASA's Kennedy Space Center - NASA's Orion Ready for Launch_u1rOp66VqpU - transcript (automated).pdf","Transcript Link")</f>
        <v>Transcript Link</v>
      </c>
    </row>
    <row r="1006" ht="180" spans="1:13">
      <c r="A1006" s="1" t="s">
        <v>4649</v>
      </c>
      <c r="B1006" s="1" t="s">
        <v>13</v>
      </c>
      <c r="C1006" s="4" t="s">
        <v>4666</v>
      </c>
      <c r="D1006" s="1" t="s">
        <v>4667</v>
      </c>
      <c r="E1006" s="1" t="s">
        <v>4660</v>
      </c>
      <c r="F1006" s="4" t="s">
        <v>17</v>
      </c>
      <c r="G1006" s="1" t="s">
        <v>18</v>
      </c>
      <c r="H1006" s="1" t="s">
        <v>19</v>
      </c>
      <c r="I1006" s="1" t="s">
        <v>20</v>
      </c>
      <c r="J1006" s="1" t="s">
        <v>4668</v>
      </c>
      <c r="K1006" s="1" t="s">
        <v>22</v>
      </c>
      <c r="L1006" s="1" t="str">
        <f>HYPERLINK("https://files.afu.se/Downloads/Transcripts/0%20-%20Government/USA%20-%20NASA%20Kennedy/2014 12 05 - NASA's Kennedy Space Center - Liftoff of Orion_6Hn8qnsucwo - transcript (automated).pdf","Transcript Link")</f>
        <v>Transcript Link</v>
      </c>
      <c r="M1006" s="2" t="str">
        <f>HYPERLINK("https://files.afu.se/Downloads/Transcripts/0%20-%20Government/USA%20-%20NASA%20Kennedy/2014 12 05 - NASA's Kennedy Space Center - Liftoff of Orion_6Hn8qnsucwo - transcript (automated).pdf","Transcript Link")</f>
        <v>Transcript Link</v>
      </c>
    </row>
    <row r="1007" ht="180" spans="1:13">
      <c r="A1007" s="1" t="s">
        <v>4669</v>
      </c>
      <c r="B1007" s="1" t="s">
        <v>13</v>
      </c>
      <c r="C1007" s="4" t="s">
        <v>4670</v>
      </c>
      <c r="D1007" s="1" t="s">
        <v>4671</v>
      </c>
      <c r="E1007" s="1" t="s">
        <v>4672</v>
      </c>
      <c r="F1007" s="4" t="s">
        <v>17</v>
      </c>
      <c r="G1007" s="1" t="s">
        <v>18</v>
      </c>
      <c r="H1007" s="1" t="s">
        <v>19</v>
      </c>
      <c r="I1007" s="1" t="s">
        <v>20</v>
      </c>
      <c r="J1007" s="1" t="s">
        <v>4673</v>
      </c>
      <c r="K1007" s="1" t="s">
        <v>22</v>
      </c>
      <c r="L1007" s="1" t="str">
        <f>HYPERLINK("https://files.afu.se/Downloads/Transcripts/0%20-%20Government/USA%20-%20NASA%20Kennedy/2014 12 03 - NASA's Kennedy Space Center - Orion Prepared for December Flight Test_PTsI3Io_hsI - transcript (automated).pdf","Transcript Link")</f>
        <v>Transcript Link</v>
      </c>
      <c r="M1007" s="2" t="str">
        <f>HYPERLINK("https://files.afu.se/Downloads/Transcripts/0%20-%20Government/USA%20-%20NASA%20Kennedy/2014 12 03 - NASA's Kennedy Space Center - Orion Prepared for December Flight Test_PTsI3Io_hsI - transcript (automated).pdf","Transcript Link")</f>
        <v>Transcript Link</v>
      </c>
    </row>
    <row r="1008" ht="270" spans="1:13">
      <c r="A1008" s="1" t="s">
        <v>4674</v>
      </c>
      <c r="B1008" s="1" t="s">
        <v>13</v>
      </c>
      <c r="C1008" s="4" t="s">
        <v>4675</v>
      </c>
      <c r="D1008" s="1" t="s">
        <v>4676</v>
      </c>
      <c r="E1008" s="1" t="s">
        <v>4677</v>
      </c>
      <c r="F1008" s="4" t="s">
        <v>17</v>
      </c>
      <c r="G1008" s="1" t="s">
        <v>18</v>
      </c>
      <c r="H1008" s="1" t="s">
        <v>19</v>
      </c>
      <c r="I1008" s="1" t="s">
        <v>20</v>
      </c>
      <c r="J1008" s="1" t="s">
        <v>4678</v>
      </c>
      <c r="K1008" s="1" t="s">
        <v>22</v>
      </c>
      <c r="L1008" s="1" t="str">
        <f>HYPERLINK("https://files.afu.se/Downloads/Transcripts/0%20-%20Government/USA%20-%20NASA%20Kennedy/2014 12 02 - NASA's Kennedy Space Center - NASA’s Parallel Path to Human Space Exploration_9yRK_7OT6Do - transcript (automated).pdf","Transcript Link")</f>
        <v>Transcript Link</v>
      </c>
      <c r="M1008" s="2" t="str">
        <f>HYPERLINK("https://files.afu.se/Downloads/Transcripts/0%20-%20Government/USA%20-%20NASA%20Kennedy/2014 12 02 - NASA's Kennedy Space Center - NASA’s Parallel Path to Human Space Exploration_9yRK_7OT6Do - transcript (automated).pdf","Transcript Link")</f>
        <v>Transcript Link</v>
      </c>
    </row>
    <row r="1009" ht="180" spans="1:13">
      <c r="A1009" s="1" t="s">
        <v>4679</v>
      </c>
      <c r="B1009" s="1" t="s">
        <v>13</v>
      </c>
      <c r="C1009" s="4" t="s">
        <v>4680</v>
      </c>
      <c r="D1009" s="1" t="s">
        <v>4681</v>
      </c>
      <c r="E1009" s="1" t="s">
        <v>4682</v>
      </c>
      <c r="F1009" s="4" t="s">
        <v>17</v>
      </c>
      <c r="G1009" s="1" t="s">
        <v>18</v>
      </c>
      <c r="H1009" s="1" t="s">
        <v>19</v>
      </c>
      <c r="I1009" s="1" t="s">
        <v>20</v>
      </c>
      <c r="J1009" s="1" t="s">
        <v>4683</v>
      </c>
      <c r="K1009" s="1" t="s">
        <v>22</v>
      </c>
      <c r="L1009" s="1" t="str">
        <f>HYPERLINK("https://files.afu.se/Downloads/Transcripts/0%20-%20Government/USA%20-%20NASA%20Kennedy/2014 12 01 - NASA's Kennedy Space Center - Inside KSC! Dec. 1, 2014_SYsGr9wqdvA - transcript (automated).pdf","Transcript Link")</f>
        <v>Transcript Link</v>
      </c>
      <c r="M1009" s="2" t="str">
        <f>HYPERLINK("https://files.afu.se/Downloads/Transcripts/0%20-%20Government/USA%20-%20NASA%20Kennedy/2014 12 01 - NASA's Kennedy Space Center - Inside KSC! Dec. 1, 2014_SYsGr9wqdvA - transcript (automated).pdf","Transcript Link")</f>
        <v>Transcript Link</v>
      </c>
    </row>
    <row r="1010" ht="180" spans="1:13">
      <c r="A1010" s="1" t="s">
        <v>4684</v>
      </c>
      <c r="B1010" s="1" t="s">
        <v>13</v>
      </c>
      <c r="C1010" s="4" t="s">
        <v>4685</v>
      </c>
      <c r="D1010" s="1" t="s">
        <v>4686</v>
      </c>
      <c r="E1010" s="1" t="s">
        <v>4687</v>
      </c>
      <c r="F1010" s="4" t="s">
        <v>17</v>
      </c>
      <c r="G1010" s="1" t="s">
        <v>18</v>
      </c>
      <c r="H1010" s="1" t="s">
        <v>19</v>
      </c>
      <c r="I1010" s="1" t="s">
        <v>20</v>
      </c>
      <c r="J1010" s="1" t="s">
        <v>4688</v>
      </c>
      <c r="K1010" s="1" t="s">
        <v>22</v>
      </c>
      <c r="L1010" s="1" t="str">
        <f>HYPERLINK("https://files.afu.se/Downloads/Transcripts/0%20-%20Government/USA%20-%20NASA%20Kennedy/2014 11 21 - NASA's Kennedy Space Center - Inside KSC! Nov. 21, 2014_yDHOo5dGYyk - transcript (automated).pdf","Transcript Link")</f>
        <v>Transcript Link</v>
      </c>
      <c r="M1010" s="2" t="str">
        <f>HYPERLINK("https://files.afu.se/Downloads/Transcripts/0%20-%20Government/USA%20-%20NASA%20Kennedy/2014 11 21 - NASA's Kennedy Space Center - Inside KSC! Nov. 21, 2014_yDHOo5dGYyk - transcript (automated).pdf","Transcript Link")</f>
        <v>Transcript Link</v>
      </c>
    </row>
    <row r="1011" ht="180" spans="1:13">
      <c r="A1011" s="1" t="s">
        <v>4689</v>
      </c>
      <c r="B1011" s="1" t="s">
        <v>13</v>
      </c>
      <c r="C1011" s="4" t="s">
        <v>4690</v>
      </c>
      <c r="D1011" s="1" t="s">
        <v>4691</v>
      </c>
      <c r="E1011" s="1" t="s">
        <v>4692</v>
      </c>
      <c r="F1011" s="4" t="s">
        <v>17</v>
      </c>
      <c r="G1011" s="1" t="s">
        <v>18</v>
      </c>
      <c r="H1011" s="1" t="s">
        <v>19</v>
      </c>
      <c r="I1011" s="1" t="s">
        <v>20</v>
      </c>
      <c r="J1011" s="1" t="s">
        <v>4693</v>
      </c>
      <c r="K1011" s="1" t="s">
        <v>22</v>
      </c>
      <c r="L1011" s="1" t="str">
        <f>HYPERLINK("https://files.afu.se/Downloads/Transcripts/0%20-%20Government/USA%20-%20NASA%20Kennedy/2014 11 14 - NASA's Kennedy Space Center - Inside KSC! Nov. 14, 2014__0TP_ySwEC0 - transcript (automated).pdf","Transcript Link")</f>
        <v>Transcript Link</v>
      </c>
      <c r="M1011" s="2" t="str">
        <f>HYPERLINK("https://files.afu.se/Downloads/Transcripts/0%20-%20Government/USA%20-%20NASA%20Kennedy/2014 11 14 - NASA's Kennedy Space Center - Inside KSC! Nov. 14, 2014__0TP_ySwEC0 - transcript (automated).pdf","Transcript Link")</f>
        <v>Transcript Link</v>
      </c>
    </row>
    <row r="1012" ht="180" spans="1:13">
      <c r="A1012" s="1" t="s">
        <v>4689</v>
      </c>
      <c r="B1012" s="1" t="s">
        <v>13</v>
      </c>
      <c r="C1012" s="4" t="s">
        <v>4694</v>
      </c>
      <c r="D1012" s="1" t="s">
        <v>4695</v>
      </c>
      <c r="E1012" s="1" t="s">
        <v>4696</v>
      </c>
      <c r="F1012" s="4" t="s">
        <v>17</v>
      </c>
      <c r="G1012" s="1" t="s">
        <v>18</v>
      </c>
      <c r="H1012" s="1" t="s">
        <v>19</v>
      </c>
      <c r="I1012" s="1" t="s">
        <v>20</v>
      </c>
      <c r="J1012" s="1" t="s">
        <v>4697</v>
      </c>
      <c r="K1012" s="1" t="s">
        <v>22</v>
      </c>
      <c r="L1012" s="1" t="str">
        <f>HYPERLINK("https://files.afu.se/Downloads/Transcripts/0%20-%20Government/USA%20-%20NASA%20Kennedy/2014 11 14 - NASA's Kennedy Space Center - Orion Spacecraft Moves to Space Launch Complex 37_0rUOMHpWWng - transcript (automated).pdf","Transcript Link")</f>
        <v>Transcript Link</v>
      </c>
      <c r="M1012" s="2" t="str">
        <f>HYPERLINK("https://files.afu.se/Downloads/Transcripts/0%20-%20Government/USA%20-%20NASA%20Kennedy/2014 11 14 - NASA's Kennedy Space Center - Orion Spacecraft Moves to Space Launch Complex 37_0rUOMHpWWng - transcript (automated).pdf","Transcript Link")</f>
        <v>Transcript Link</v>
      </c>
    </row>
    <row r="1013" ht="180" spans="1:13">
      <c r="A1013" s="1" t="s">
        <v>4698</v>
      </c>
      <c r="B1013" s="1" t="s">
        <v>13</v>
      </c>
      <c r="C1013" s="4" t="s">
        <v>4699</v>
      </c>
      <c r="D1013" s="1" t="s">
        <v>4700</v>
      </c>
      <c r="E1013" s="1" t="s">
        <v>4701</v>
      </c>
      <c r="F1013" s="4" t="s">
        <v>17</v>
      </c>
      <c r="G1013" s="1" t="s">
        <v>18</v>
      </c>
      <c r="H1013" s="1" t="s">
        <v>19</v>
      </c>
      <c r="I1013" s="1" t="s">
        <v>20</v>
      </c>
      <c r="J1013" s="1" t="s">
        <v>4702</v>
      </c>
      <c r="K1013" s="1" t="s">
        <v>22</v>
      </c>
      <c r="L1013" s="1" t="str">
        <f>HYPERLINK("https://files.afu.se/Downloads/Transcripts/0%20-%20Government/USA%20-%20NASA%20Kennedy/2014 11 13 - NASA's Kennedy Space Center - Time-lapse of Orion's Roll to the Launch Pad_DgDM5v7S7sc - transcript (automated).pdf","Transcript Link")</f>
        <v>Transcript Link</v>
      </c>
      <c r="M1013" s="2" t="str">
        <f>HYPERLINK("https://files.afu.se/Downloads/Transcripts/0%20-%20Government/USA%20-%20NASA%20Kennedy/2014 11 13 - NASA's Kennedy Space Center - Time-lapse of Orion's Roll to the Launch Pad_DgDM5v7S7sc - transcript (automated).pdf","Transcript Link")</f>
        <v>Transcript Link</v>
      </c>
    </row>
    <row r="1014" ht="180" spans="1:13">
      <c r="A1014" s="1" t="s">
        <v>4703</v>
      </c>
      <c r="B1014" s="1" t="s">
        <v>13</v>
      </c>
      <c r="C1014" s="4" t="s">
        <v>4704</v>
      </c>
      <c r="D1014" s="1" t="s">
        <v>4705</v>
      </c>
      <c r="E1014" s="1" t="s">
        <v>4706</v>
      </c>
      <c r="F1014" s="4" t="s">
        <v>17</v>
      </c>
      <c r="G1014" s="1" t="s">
        <v>18</v>
      </c>
      <c r="H1014" s="1" t="s">
        <v>19</v>
      </c>
      <c r="I1014" s="1" t="s">
        <v>20</v>
      </c>
      <c r="J1014" s="1" t="s">
        <v>4707</v>
      </c>
      <c r="K1014" s="1" t="s">
        <v>22</v>
      </c>
      <c r="L1014" s="1" t="str">
        <f>HYPERLINK("https://files.afu.se/Downloads/Transcripts/0%20-%20Government/USA%20-%20NASA%20Kennedy/2014 11 07 - NASA's Kennedy Space Center - Inside KSC! Nov 7, 2014_Mxcw5t7Z2Ok - transcript (automated).pdf","Transcript Link")</f>
        <v>Transcript Link</v>
      </c>
      <c r="M1014" s="2" t="str">
        <f>HYPERLINK("https://files.afu.se/Downloads/Transcripts/0%20-%20Government/USA%20-%20NASA%20Kennedy/2014 11 07 - NASA's Kennedy Space Center - Inside KSC! Nov 7, 2014_Mxcw5t7Z2Ok - transcript (automated).pdf","Transcript Link")</f>
        <v>Transcript Link</v>
      </c>
    </row>
    <row r="1015" ht="180" spans="1:13">
      <c r="A1015" s="1" t="s">
        <v>4703</v>
      </c>
      <c r="B1015" s="1" t="s">
        <v>13</v>
      </c>
      <c r="C1015" s="4" t="s">
        <v>4708</v>
      </c>
      <c r="D1015" s="1" t="s">
        <v>4709</v>
      </c>
      <c r="E1015" s="1" t="s">
        <v>4710</v>
      </c>
      <c r="F1015" s="4" t="s">
        <v>17</v>
      </c>
      <c r="G1015" s="1" t="s">
        <v>18</v>
      </c>
      <c r="H1015" s="1" t="s">
        <v>19</v>
      </c>
      <c r="I1015" s="1" t="s">
        <v>20</v>
      </c>
      <c r="J1015" s="1" t="s">
        <v>4711</v>
      </c>
      <c r="K1015" s="1" t="s">
        <v>22</v>
      </c>
      <c r="L1015" s="1" t="str">
        <f>HYPERLINK("https://files.afu.se/Downloads/Transcripts/0%20-%20Government/USA%20-%20NASA%20Kennedy/2014 11 07 - NASA's Kennedy Space Center - Training Helps Helicopter Crews Prepare for Fighting Fires_BjCsjU-ZYQ0 - transcript (automated).pdf","Transcript Link")</f>
        <v>Transcript Link</v>
      </c>
      <c r="M1015" s="2" t="str">
        <f>HYPERLINK("https://files.afu.se/Downloads/Transcripts/0%20-%20Government/USA%20-%20NASA%20Kennedy/2014 11 07 - NASA's Kennedy Space Center - Training Helps Helicopter Crews Prepare for Fighting Fires_BjCsjU-ZYQ0 - transcript (automated).pdf","Transcript Link")</f>
        <v>Transcript Link</v>
      </c>
    </row>
    <row r="1016" ht="180" spans="1:13">
      <c r="A1016" s="1" t="s">
        <v>4712</v>
      </c>
      <c r="B1016" s="1" t="s">
        <v>13</v>
      </c>
      <c r="C1016" s="4" t="s">
        <v>4713</v>
      </c>
      <c r="D1016" s="1" t="s">
        <v>4714</v>
      </c>
      <c r="E1016" s="1" t="s">
        <v>4715</v>
      </c>
      <c r="F1016" s="4" t="s">
        <v>17</v>
      </c>
      <c r="G1016" s="1" t="s">
        <v>18</v>
      </c>
      <c r="H1016" s="1" t="s">
        <v>19</v>
      </c>
      <c r="I1016" s="1" t="s">
        <v>20</v>
      </c>
      <c r="J1016" s="1" t="s">
        <v>4716</v>
      </c>
      <c r="K1016" s="1" t="s">
        <v>22</v>
      </c>
      <c r="L1016" s="1" t="str">
        <f>HYPERLINK("https://files.afu.se/Downloads/Transcripts/0%20-%20Government/USA%20-%20NASA%20Kennedy/2014 10 31 - NASA's Kennedy Space Center - Inside KSC! Oct. 31, 2014_MVo1YguUsVE - transcript (automated).pdf","Transcript Link")</f>
        <v>Transcript Link</v>
      </c>
      <c r="M1016" s="2" t="str">
        <f>HYPERLINK("https://files.afu.se/Downloads/Transcripts/0%20-%20Government/USA%20-%20NASA%20Kennedy/2014 10 31 - NASA's Kennedy Space Center - Inside KSC! Oct. 31, 2014_MVo1YguUsVE - transcript (automated).pdf","Transcript Link")</f>
        <v>Transcript Link</v>
      </c>
    </row>
    <row r="1017" ht="180" spans="1:13">
      <c r="A1017" s="1" t="s">
        <v>4717</v>
      </c>
      <c r="B1017" s="1" t="s">
        <v>13</v>
      </c>
      <c r="C1017" s="4" t="s">
        <v>4718</v>
      </c>
      <c r="D1017" s="1" t="s">
        <v>4719</v>
      </c>
      <c r="E1017" s="1" t="s">
        <v>4720</v>
      </c>
      <c r="F1017" s="4" t="s">
        <v>17</v>
      </c>
      <c r="G1017" s="1" t="s">
        <v>18</v>
      </c>
      <c r="H1017" s="1" t="s">
        <v>19</v>
      </c>
      <c r="I1017" s="1" t="s">
        <v>20</v>
      </c>
      <c r="J1017" s="1" t="s">
        <v>4721</v>
      </c>
      <c r="K1017" s="1" t="s">
        <v>22</v>
      </c>
      <c r="L1017" s="1" t="str">
        <f>HYPERLINK("https://files.afu.se/Downloads/Transcripts/0%20-%20Government/USA%20-%20NASA%20Kennedy/2014 10 23 - NASA's Kennedy Space Center - Inside KSC! Oct. 24, 2014_2XUL3edY3wI - transcript (automated).pdf","Transcript Link")</f>
        <v>Transcript Link</v>
      </c>
      <c r="M1017" s="2" t="str">
        <f>HYPERLINK("https://files.afu.se/Downloads/Transcripts/0%20-%20Government/USA%20-%20NASA%20Kennedy/2014 10 23 - NASA's Kennedy Space Center - Inside KSC! Oct. 24, 2014_2XUL3edY3wI - transcript (automated).pdf","Transcript Link")</f>
        <v>Transcript Link</v>
      </c>
    </row>
    <row r="1018" ht="180" spans="1:13">
      <c r="A1018" s="1" t="s">
        <v>4722</v>
      </c>
      <c r="B1018" s="1" t="s">
        <v>13</v>
      </c>
      <c r="C1018" s="4" t="s">
        <v>4723</v>
      </c>
      <c r="D1018" s="1" t="s">
        <v>4724</v>
      </c>
      <c r="E1018" s="1" t="s">
        <v>4725</v>
      </c>
      <c r="F1018" s="4" t="s">
        <v>17</v>
      </c>
      <c r="G1018" s="1" t="s">
        <v>18</v>
      </c>
      <c r="H1018" s="1" t="s">
        <v>19</v>
      </c>
      <c r="I1018" s="1" t="s">
        <v>20</v>
      </c>
      <c r="J1018" s="1" t="s">
        <v>4726</v>
      </c>
      <c r="K1018" s="1" t="s">
        <v>22</v>
      </c>
      <c r="L1018" s="1" t="str">
        <f>HYPERLINK("https://files.afu.se/Downloads/Transcripts/0%20-%20Government/USA%20-%20NASA%20Kennedy/2014 10 17 - NASA's Kennedy Space Center - Inside KSC! Oct 17, 2014_D2Odsnn1H9A - transcript (automated).pdf","Transcript Link")</f>
        <v>Transcript Link</v>
      </c>
      <c r="M1018" s="2" t="str">
        <f>HYPERLINK("https://files.afu.se/Downloads/Transcripts/0%20-%20Government/USA%20-%20NASA%20Kennedy/2014 10 17 - NASA's Kennedy Space Center - Inside KSC! Oct 17, 2014_D2Odsnn1H9A - transcript (automated).pdf","Transcript Link")</f>
        <v>Transcript Link</v>
      </c>
    </row>
    <row r="1019" ht="180" spans="1:13">
      <c r="A1019" s="1" t="s">
        <v>4727</v>
      </c>
      <c r="B1019" s="1" t="s">
        <v>13</v>
      </c>
      <c r="C1019" s="4" t="s">
        <v>4728</v>
      </c>
      <c r="D1019" s="1" t="s">
        <v>4729</v>
      </c>
      <c r="E1019" s="1" t="s">
        <v>4730</v>
      </c>
      <c r="F1019" s="4" t="s">
        <v>17</v>
      </c>
      <c r="G1019" s="1" t="s">
        <v>18</v>
      </c>
      <c r="H1019" s="1" t="s">
        <v>19</v>
      </c>
      <c r="I1019" s="1" t="s">
        <v>20</v>
      </c>
      <c r="J1019" s="1" t="s">
        <v>4731</v>
      </c>
      <c r="K1019" s="1" t="s">
        <v>22</v>
      </c>
      <c r="L1019" s="1" t="str">
        <f>HYPERLINK("https://files.afu.se/Downloads/Transcripts/0%20-%20Government/USA%20-%20NASA%20Kennedy/2014 10 10 - NASA's Kennedy Space Center - Inside KSC! Oct. 10, 2014_iQLZzYiCPjk - transcript (automated).pdf","Transcript Link")</f>
        <v>Transcript Link</v>
      </c>
      <c r="M1019" s="2" t="str">
        <f>HYPERLINK("https://files.afu.se/Downloads/Transcripts/0%20-%20Government/USA%20-%20NASA%20Kennedy/2014 10 10 - NASA's Kennedy Space Center - Inside KSC! Oct. 10, 2014_iQLZzYiCPjk - transcript (automated).pdf","Transcript Link")</f>
        <v>Transcript Link</v>
      </c>
    </row>
    <row r="1020" ht="180" spans="1:13">
      <c r="A1020" s="1" t="s">
        <v>4732</v>
      </c>
      <c r="B1020" s="1" t="s">
        <v>13</v>
      </c>
      <c r="C1020" s="4" t="s">
        <v>4733</v>
      </c>
      <c r="D1020" s="1" t="s">
        <v>4734</v>
      </c>
      <c r="E1020" s="1" t="s">
        <v>4735</v>
      </c>
      <c r="F1020" s="4" t="s">
        <v>17</v>
      </c>
      <c r="G1020" s="1" t="s">
        <v>18</v>
      </c>
      <c r="H1020" s="1" t="s">
        <v>19</v>
      </c>
      <c r="I1020" s="1" t="s">
        <v>20</v>
      </c>
      <c r="J1020" s="1" t="s">
        <v>4736</v>
      </c>
      <c r="K1020" s="1" t="s">
        <v>22</v>
      </c>
      <c r="L1020" s="1" t="str">
        <f>HYPERLINK("https://files.afu.se/Downloads/Transcripts/0%20-%20Government/USA%20-%20NASA%20Kennedy/2014 10 03 - NASA's Kennedy Space Center - Inside KSC! Oct 3, 2014_DXWp0WwZWR0 - transcript (automated).pdf","Transcript Link")</f>
        <v>Transcript Link</v>
      </c>
      <c r="M1020" s="2" t="str">
        <f>HYPERLINK("https://files.afu.se/Downloads/Transcripts/0%20-%20Government/USA%20-%20NASA%20Kennedy/2014 10 03 - NASA's Kennedy Space Center - Inside KSC! Oct 3, 2014_DXWp0WwZWR0 - transcript (automated).pdf","Transcript Link")</f>
        <v>Transcript Link</v>
      </c>
    </row>
    <row r="1021" ht="180" spans="1:13">
      <c r="A1021" s="1" t="s">
        <v>4737</v>
      </c>
      <c r="B1021" s="1" t="s">
        <v>13</v>
      </c>
      <c r="C1021" s="4" t="s">
        <v>4738</v>
      </c>
      <c r="D1021" s="1" t="s">
        <v>4739</v>
      </c>
      <c r="E1021" s="1" t="s">
        <v>4740</v>
      </c>
      <c r="F1021" s="4" t="s">
        <v>17</v>
      </c>
      <c r="G1021" s="1" t="s">
        <v>18</v>
      </c>
      <c r="H1021" s="1" t="s">
        <v>19</v>
      </c>
      <c r="I1021" s="1" t="s">
        <v>20</v>
      </c>
      <c r="J1021" s="1" t="s">
        <v>4741</v>
      </c>
      <c r="K1021" s="1" t="s">
        <v>22</v>
      </c>
      <c r="L1021" s="1" t="str">
        <f>HYPERLINK("https://files.afu.se/Downloads/Transcripts/0%20-%20Government/USA%20-%20NASA%20Kennedy/2014 10 02 - NASA's Kennedy Space Center - Time-Lapse of Delta IV Rollout and Lift_-GpBZSIO22U - transcript (automated).pdf","Transcript Link")</f>
        <v>Transcript Link</v>
      </c>
      <c r="M1021" s="2" t="str">
        <f>HYPERLINK("https://files.afu.se/Downloads/Transcripts/0%20-%20Government/USA%20-%20NASA%20Kennedy/2014 10 02 - NASA's Kennedy Space Center - Time-Lapse of Delta IV Rollout and Lift_-GpBZSIO22U - transcript (automated).pdf","Transcript Link")</f>
        <v>Transcript Link</v>
      </c>
    </row>
    <row r="1022" ht="180" spans="1:13">
      <c r="A1022" s="1" t="s">
        <v>4742</v>
      </c>
      <c r="B1022" s="1" t="s">
        <v>13</v>
      </c>
      <c r="C1022" s="4" t="s">
        <v>4743</v>
      </c>
      <c r="D1022" s="1" t="s">
        <v>4744</v>
      </c>
      <c r="E1022" s="1" t="s">
        <v>4745</v>
      </c>
      <c r="F1022" s="4" t="s">
        <v>17</v>
      </c>
      <c r="G1022" s="1" t="s">
        <v>18</v>
      </c>
      <c r="H1022" s="1" t="s">
        <v>19</v>
      </c>
      <c r="I1022" s="1" t="s">
        <v>20</v>
      </c>
      <c r="J1022" s="1" t="s">
        <v>4746</v>
      </c>
      <c r="K1022" s="1" t="s">
        <v>22</v>
      </c>
      <c r="L1022" s="1" t="str">
        <f>HYPERLINK("https://files.afu.se/Downloads/Transcripts/0%20-%20Government/USA%20-%20NASA%20Kennedy/2014 09 30 - NASA's Kennedy Space Center - Inside KSC! Sept. 30, 2014_jDN2v0iO3CI - transcript (automated).pdf","Transcript Link")</f>
        <v>Transcript Link</v>
      </c>
      <c r="M1022" s="2" t="str">
        <f>HYPERLINK("https://files.afu.se/Downloads/Transcripts/0%20-%20Government/USA%20-%20NASA%20Kennedy/2014 09 30 - NASA's Kennedy Space Center - Inside KSC! Sept. 30, 2014_jDN2v0iO3CI - transcript (automated).pdf","Transcript Link")</f>
        <v>Transcript Link</v>
      </c>
    </row>
    <row r="1023" ht="180" spans="1:13">
      <c r="A1023" s="1" t="s">
        <v>4747</v>
      </c>
      <c r="B1023" s="1" t="s">
        <v>13</v>
      </c>
      <c r="C1023" s="4" t="s">
        <v>4748</v>
      </c>
      <c r="D1023" s="1" t="s">
        <v>4749</v>
      </c>
      <c r="E1023" s="1" t="s">
        <v>4750</v>
      </c>
      <c r="F1023" s="4" t="s">
        <v>17</v>
      </c>
      <c r="G1023" s="1" t="s">
        <v>18</v>
      </c>
      <c r="H1023" s="1" t="s">
        <v>19</v>
      </c>
      <c r="I1023" s="1" t="s">
        <v>20</v>
      </c>
      <c r="J1023" s="1" t="s">
        <v>4751</v>
      </c>
      <c r="K1023" s="1" t="s">
        <v>22</v>
      </c>
      <c r="L1023" s="1" t="str">
        <f>HYPERLINK("https://files.afu.se/Downloads/Transcripts/0%20-%20Government/USA%20-%20NASA%20Kennedy/2014 09 24 - NASA's Kennedy Space Center - Inside KSC! Sept. 24, 2014_pMqn5Z53aY4 - transcript (automated).pdf","Transcript Link")</f>
        <v>Transcript Link</v>
      </c>
      <c r="M1023" s="2" t="str">
        <f>HYPERLINK("https://files.afu.se/Downloads/Transcripts/0%20-%20Government/USA%20-%20NASA%20Kennedy/2014 09 24 - NASA's Kennedy Space Center - Inside KSC! Sept. 24, 2014_pMqn5Z53aY4 - transcript (automated).pdf","Transcript Link")</f>
        <v>Transcript Link</v>
      </c>
    </row>
    <row r="1024" ht="180" spans="1:13">
      <c r="A1024" s="1" t="s">
        <v>4752</v>
      </c>
      <c r="B1024" s="1" t="s">
        <v>13</v>
      </c>
      <c r="C1024" s="4" t="s">
        <v>4753</v>
      </c>
      <c r="D1024" s="1" t="s">
        <v>4754</v>
      </c>
      <c r="E1024" s="1" t="s">
        <v>4755</v>
      </c>
      <c r="F1024" s="4" t="s">
        <v>17</v>
      </c>
      <c r="G1024" s="1" t="s">
        <v>18</v>
      </c>
      <c r="H1024" s="1" t="s">
        <v>19</v>
      </c>
      <c r="I1024" s="1" t="s">
        <v>20</v>
      </c>
      <c r="J1024" s="1" t="s">
        <v>4756</v>
      </c>
      <c r="K1024" s="1" t="s">
        <v>22</v>
      </c>
      <c r="L1024" s="1" t="str">
        <f>HYPERLINK("https://files.afu.se/Downloads/Transcripts/0%20-%20Government/USA%20-%20NASA%20Kennedy/2014 09 21 - NASA's Kennedy Space Center - Dragon Spacecraft Separation_lX7s-sA7bEk - transcript (automated).pdf","Transcript Link")</f>
        <v>Transcript Link</v>
      </c>
      <c r="M1024" s="2" t="str">
        <f>HYPERLINK("https://files.afu.se/Downloads/Transcripts/0%20-%20Government/USA%20-%20NASA%20Kennedy/2014 09 21 - NASA's Kennedy Space Center - Dragon Spacecraft Separation_lX7s-sA7bEk - transcript (automated).pdf","Transcript Link")</f>
        <v>Transcript Link</v>
      </c>
    </row>
    <row r="1025" ht="180" spans="1:13">
      <c r="A1025" s="1" t="s">
        <v>4752</v>
      </c>
      <c r="B1025" s="1" t="s">
        <v>13</v>
      </c>
      <c r="C1025" s="4" t="s">
        <v>4757</v>
      </c>
      <c r="D1025" s="1" t="s">
        <v>4758</v>
      </c>
      <c r="E1025" s="1" t="s">
        <v>4759</v>
      </c>
      <c r="F1025" s="4" t="s">
        <v>17</v>
      </c>
      <c r="G1025" s="1" t="s">
        <v>18</v>
      </c>
      <c r="H1025" s="1" t="s">
        <v>19</v>
      </c>
      <c r="I1025" s="1" t="s">
        <v>20</v>
      </c>
      <c r="J1025" s="1" t="s">
        <v>4760</v>
      </c>
      <c r="K1025" s="1" t="s">
        <v>22</v>
      </c>
      <c r="L1025" s="1" t="str">
        <f>HYPERLINK("https://files.afu.se/Downloads/Transcripts/0%20-%20Government/USA%20-%20NASA%20Kennedy/2014 09 21 - NASA's Kennedy Space Center - Liftoff of SpaceX-4_R5AwRC8nZGc - transcript (automated).pdf","Transcript Link")</f>
        <v>Transcript Link</v>
      </c>
      <c r="M1025" s="2" t="str">
        <f>HYPERLINK("https://files.afu.se/Downloads/Transcripts/0%20-%20Government/USA%20-%20NASA%20Kennedy/2014 09 21 - NASA's Kennedy Space Center - Liftoff of SpaceX-4_R5AwRC8nZGc - transcript (automated).pdf","Transcript Link")</f>
        <v>Transcript Link</v>
      </c>
    </row>
    <row r="1026" ht="180" spans="1:13">
      <c r="A1026" s="1" t="s">
        <v>4752</v>
      </c>
      <c r="B1026" s="1" t="s">
        <v>13</v>
      </c>
      <c r="C1026" s="4" t="s">
        <v>4761</v>
      </c>
      <c r="D1026" s="1" t="s">
        <v>4616</v>
      </c>
      <c r="E1026" s="1" t="s">
        <v>4762</v>
      </c>
      <c r="F1026" s="4" t="s">
        <v>17</v>
      </c>
      <c r="G1026" s="1" t="s">
        <v>18</v>
      </c>
      <c r="H1026" s="1" t="s">
        <v>19</v>
      </c>
      <c r="I1026" s="1" t="s">
        <v>20</v>
      </c>
      <c r="J1026" s="1" t="s">
        <v>4763</v>
      </c>
      <c r="K1026" s="1" t="s">
        <v>22</v>
      </c>
      <c r="L1026" s="1" t="str">
        <f>HYPERLINK("https://files.afu.se/Downloads/Transcripts/0%20-%20Government/USA%20-%20NASA%20Kennedy/2014 09 21 - NASA's Kennedy Space Center - Falcon 9 Ready for Launch__xlxw_D748c - transcript (automated).pdf","Transcript Link")</f>
        <v>Transcript Link</v>
      </c>
      <c r="M1026" s="2" t="str">
        <f>HYPERLINK("https://files.afu.se/Downloads/Transcripts/0%20-%20Government/USA%20-%20NASA%20Kennedy/2014 09 21 - NASA's Kennedy Space Center - Falcon 9 Ready for Launch__xlxw_D748c - transcript (automated).pdf","Transcript Link")</f>
        <v>Transcript Link</v>
      </c>
    </row>
    <row r="1027" ht="180" spans="1:13">
      <c r="A1027" s="1" t="s">
        <v>4752</v>
      </c>
      <c r="B1027" s="1" t="s">
        <v>13</v>
      </c>
      <c r="C1027" s="4" t="s">
        <v>4764</v>
      </c>
      <c r="D1027" s="1" t="s">
        <v>4765</v>
      </c>
      <c r="E1027" s="1" t="s">
        <v>4766</v>
      </c>
      <c r="F1027" s="4" t="s">
        <v>17</v>
      </c>
      <c r="G1027" s="1" t="s">
        <v>18</v>
      </c>
      <c r="H1027" s="1" t="s">
        <v>19</v>
      </c>
      <c r="I1027" s="1" t="s">
        <v>20</v>
      </c>
      <c r="J1027" s="1" t="s">
        <v>4767</v>
      </c>
      <c r="K1027" s="1" t="s">
        <v>22</v>
      </c>
      <c r="L1027" s="1" t="str">
        <f>HYPERLINK("https://files.afu.se/Downloads/Transcripts/0%20-%20Government/USA%20-%20NASA%20Kennedy/2014 09 21 - NASA's Kennedy Space Center - SpaceX CRS-4 Countdown Underway at the Cape_lEc7qXx8hek - transcript (automated).pdf","Transcript Link")</f>
        <v>Transcript Link</v>
      </c>
      <c r="M1027" s="2" t="str">
        <f>HYPERLINK("https://files.afu.se/Downloads/Transcripts/0%20-%20Government/USA%20-%20NASA%20Kennedy/2014 09 21 - NASA's Kennedy Space Center - SpaceX CRS-4 Countdown Underway at the Cape_lEc7qXx8hek - transcript (automated).pdf","Transcript Link")</f>
        <v>Transcript Link</v>
      </c>
    </row>
    <row r="1028" ht="180" spans="1:13">
      <c r="A1028" s="1" t="s">
        <v>4768</v>
      </c>
      <c r="B1028" s="1" t="s">
        <v>13</v>
      </c>
      <c r="C1028" s="4" t="s">
        <v>4769</v>
      </c>
      <c r="D1028" s="1" t="s">
        <v>4770</v>
      </c>
      <c r="E1028" s="1" t="s">
        <v>4771</v>
      </c>
      <c r="F1028" s="4" t="s">
        <v>17</v>
      </c>
      <c r="G1028" s="1" t="s">
        <v>18</v>
      </c>
      <c r="H1028" s="1" t="s">
        <v>19</v>
      </c>
      <c r="I1028" s="1" t="s">
        <v>20</v>
      </c>
      <c r="J1028" s="1" t="s">
        <v>4772</v>
      </c>
      <c r="K1028" s="1" t="s">
        <v>22</v>
      </c>
      <c r="L1028" s="1" t="str">
        <f>HYPERLINK("https://files.afu.se/Downloads/Transcripts/0%20-%20Government/USA%20-%20NASA%20Kennedy/2014 09 20 - NASA's Kennedy Space Center - Falcon 9 Launch Postponed for Weather_0lLpcsZyEqo - transcript (automated).pdf","Transcript Link")</f>
        <v>Transcript Link</v>
      </c>
      <c r="M1028" s="2" t="str">
        <f>HYPERLINK("https://files.afu.se/Downloads/Transcripts/0%20-%20Government/USA%20-%20NASA%20Kennedy/2014 09 20 - NASA's Kennedy Space Center - Falcon 9 Launch Postponed for Weather_0lLpcsZyEqo - transcript (automated).pdf","Transcript Link")</f>
        <v>Transcript Link</v>
      </c>
    </row>
    <row r="1029" ht="180" spans="1:13">
      <c r="A1029" s="1" t="s">
        <v>4768</v>
      </c>
      <c r="B1029" s="1" t="s">
        <v>13</v>
      </c>
      <c r="C1029" s="4" t="s">
        <v>4773</v>
      </c>
      <c r="D1029" s="1" t="s">
        <v>4774</v>
      </c>
      <c r="E1029" s="1" t="s">
        <v>4766</v>
      </c>
      <c r="F1029" s="4" t="s">
        <v>17</v>
      </c>
      <c r="G1029" s="1" t="s">
        <v>18</v>
      </c>
      <c r="H1029" s="1" t="s">
        <v>19</v>
      </c>
      <c r="I1029" s="1" t="s">
        <v>20</v>
      </c>
      <c r="J1029" s="1" t="s">
        <v>4775</v>
      </c>
      <c r="K1029" s="1" t="s">
        <v>22</v>
      </c>
      <c r="L1029" s="1" t="str">
        <f>HYPERLINK("https://files.afu.se/Downloads/Transcripts/0%20-%20Government/USA%20-%20NASA%20Kennedy/2014 09 20 - NASA's Kennedy Space Center - SpaceX CRS-4 Countdown Underway_JdLPmU6XJ1Q - transcript (automated).pdf","Transcript Link")</f>
        <v>Transcript Link</v>
      </c>
      <c r="M1029" s="2" t="str">
        <f>HYPERLINK("https://files.afu.se/Downloads/Transcripts/0%20-%20Government/USA%20-%20NASA%20Kennedy/2014 09 20 - NASA's Kennedy Space Center - SpaceX CRS-4 Countdown Underway_JdLPmU6XJ1Q - transcript (automated).pdf","Transcript Link")</f>
        <v>Transcript Link</v>
      </c>
    </row>
    <row r="1030" ht="195" spans="1:13">
      <c r="A1030" s="1" t="s">
        <v>4776</v>
      </c>
      <c r="B1030" s="1" t="s">
        <v>13</v>
      </c>
      <c r="C1030" s="4" t="s">
        <v>4777</v>
      </c>
      <c r="D1030" s="1" t="s">
        <v>4778</v>
      </c>
      <c r="E1030" s="1" t="s">
        <v>4779</v>
      </c>
      <c r="F1030" s="4" t="s">
        <v>17</v>
      </c>
      <c r="G1030" s="1" t="s">
        <v>18</v>
      </c>
      <c r="H1030" s="1" t="s">
        <v>19</v>
      </c>
      <c r="I1030" s="1" t="s">
        <v>20</v>
      </c>
      <c r="J1030" s="1" t="s">
        <v>4780</v>
      </c>
      <c r="K1030" s="1" t="s">
        <v>22</v>
      </c>
      <c r="L1030" s="1">
        <v>0</v>
      </c>
      <c r="M1030" s="2">
        <v>0</v>
      </c>
    </row>
    <row r="1031" ht="180" spans="1:13">
      <c r="A1031" s="1" t="s">
        <v>4781</v>
      </c>
      <c r="B1031" s="1" t="s">
        <v>13</v>
      </c>
      <c r="C1031" s="4" t="s">
        <v>4782</v>
      </c>
      <c r="D1031" s="1" t="s">
        <v>4783</v>
      </c>
      <c r="E1031" s="1" t="s">
        <v>4784</v>
      </c>
      <c r="F1031" s="4" t="s">
        <v>17</v>
      </c>
      <c r="G1031" s="1" t="s">
        <v>18</v>
      </c>
      <c r="H1031" s="1" t="s">
        <v>19</v>
      </c>
      <c r="I1031" s="1" t="s">
        <v>20</v>
      </c>
      <c r="J1031" s="1" t="s">
        <v>4785</v>
      </c>
      <c r="K1031" s="1" t="s">
        <v>22</v>
      </c>
      <c r="L1031" s="1">
        <v>0</v>
      </c>
      <c r="M1031" s="2">
        <v>0</v>
      </c>
    </row>
    <row r="1032" ht="180" spans="1:13">
      <c r="A1032" s="1" t="s">
        <v>4781</v>
      </c>
      <c r="B1032" s="1" t="s">
        <v>13</v>
      </c>
      <c r="C1032" s="4" t="s">
        <v>4786</v>
      </c>
      <c r="D1032" s="1" t="s">
        <v>4787</v>
      </c>
      <c r="E1032" s="1" t="s">
        <v>4788</v>
      </c>
      <c r="F1032" s="4" t="s">
        <v>17</v>
      </c>
      <c r="G1032" s="1" t="s">
        <v>18</v>
      </c>
      <c r="H1032" s="1" t="s">
        <v>19</v>
      </c>
      <c r="I1032" s="1" t="s">
        <v>20</v>
      </c>
      <c r="J1032" s="1" t="s">
        <v>4789</v>
      </c>
      <c r="K1032" s="1" t="s">
        <v>22</v>
      </c>
      <c r="L1032" s="1" t="str">
        <f>HYPERLINK("https://files.afu.se/Downloads/Transcripts/0%20-%20Government/USA%20-%20NASA%20Kennedy/2014 09 16 - NASA's Kennedy Space Center - Boeing CST-100 to Transport U.S. Astronauts to the International Space Station_fuwPdH6UChc - transcript (automated).pdf","Transcript Link")</f>
        <v>Transcript Link</v>
      </c>
      <c r="M1032" s="2" t="str">
        <f>HYPERLINK("https://files.afu.se/Downloads/Transcripts/0%20-%20Government/USA%20-%20NASA%20Kennedy/2014 09 16 - NASA's Kennedy Space Center - Boeing CST-100 to Transport U.S. Astronauts to the International Space Station_fuwPdH6UChc - transcript (automated).pdf","Transcript Link")</f>
        <v>Transcript Link</v>
      </c>
    </row>
    <row r="1033" ht="180" spans="1:13">
      <c r="A1033" s="1" t="s">
        <v>4781</v>
      </c>
      <c r="B1033" s="1" t="s">
        <v>13</v>
      </c>
      <c r="C1033" s="4" t="s">
        <v>4790</v>
      </c>
      <c r="D1033" s="1" t="s">
        <v>4791</v>
      </c>
      <c r="E1033" s="1" t="s">
        <v>4792</v>
      </c>
      <c r="F1033" s="4" t="s">
        <v>17</v>
      </c>
      <c r="G1033" s="1" t="s">
        <v>18</v>
      </c>
      <c r="H1033" s="1" t="s">
        <v>19</v>
      </c>
      <c r="I1033" s="1" t="s">
        <v>20</v>
      </c>
      <c r="J1033" s="1" t="s">
        <v>4793</v>
      </c>
      <c r="K1033" s="1" t="s">
        <v>22</v>
      </c>
      <c r="L1033" s="1" t="str">
        <f>HYPERLINK("https://files.afu.se/Downloads/Transcripts/0%20-%20Government/USA%20-%20NASA%20Kennedy/2014 09 16 - NASA's Kennedy Space Center - Four Years of Progress_a7P-DHMiyEc - transcript (automated).pdf","Transcript Link")</f>
        <v>Transcript Link</v>
      </c>
      <c r="M1033" s="2" t="str">
        <f>HYPERLINK("https://files.afu.se/Downloads/Transcripts/0%20-%20Government/USA%20-%20NASA%20Kennedy/2014 09 16 - NASA's Kennedy Space Center - Four Years of Progress_a7P-DHMiyEc - transcript (automated).pdf","Transcript Link")</f>
        <v>Transcript Link</v>
      </c>
    </row>
    <row r="1034" ht="180" spans="1:13">
      <c r="A1034" s="1" t="s">
        <v>4781</v>
      </c>
      <c r="B1034" s="1" t="s">
        <v>13</v>
      </c>
      <c r="C1034" s="4" t="s">
        <v>4794</v>
      </c>
      <c r="D1034" s="1" t="s">
        <v>4795</v>
      </c>
      <c r="E1034" s="1" t="s">
        <v>4796</v>
      </c>
      <c r="F1034" s="4" t="s">
        <v>17</v>
      </c>
      <c r="G1034" s="1" t="s">
        <v>18</v>
      </c>
      <c r="H1034" s="1" t="s">
        <v>19</v>
      </c>
      <c r="I1034" s="1" t="s">
        <v>20</v>
      </c>
      <c r="J1034" s="1" t="s">
        <v>4797</v>
      </c>
      <c r="K1034" s="1" t="s">
        <v>22</v>
      </c>
      <c r="L1034" s="1" t="str">
        <f>HYPERLINK("https://files.afu.se/Downloads/Transcripts/0%20-%20Government/USA%20-%20NASA%20Kennedy/2014 09 16 - NASA's Kennedy Space Center - THE MISSION IS IN SIGHT_ceQycm1uCFI - transcript (automated).pdf","Transcript Link")</f>
        <v>Transcript Link</v>
      </c>
      <c r="M1034" s="2" t="str">
        <f>HYPERLINK("https://files.afu.se/Downloads/Transcripts/0%20-%20Government/USA%20-%20NASA%20Kennedy/2014 09 16 - NASA's Kennedy Space Center - THE MISSION IS IN SIGHT_ceQycm1uCFI - transcript (automated).pdf","Transcript Link")</f>
        <v>Transcript Link</v>
      </c>
    </row>
    <row r="1035" ht="180" spans="1:13">
      <c r="A1035" s="1" t="s">
        <v>4798</v>
      </c>
      <c r="B1035" s="1" t="s">
        <v>13</v>
      </c>
      <c r="C1035" s="4" t="s">
        <v>4799</v>
      </c>
      <c r="D1035" s="1" t="s">
        <v>4800</v>
      </c>
      <c r="F1035" s="4" t="s">
        <v>17</v>
      </c>
      <c r="G1035" s="1" t="s">
        <v>18</v>
      </c>
      <c r="H1035" s="1" t="s">
        <v>19</v>
      </c>
      <c r="I1035" s="1" t="s">
        <v>20</v>
      </c>
      <c r="J1035" s="1" t="s">
        <v>4801</v>
      </c>
      <c r="K1035" s="1" t="s">
        <v>22</v>
      </c>
      <c r="L1035" s="1" t="str">
        <f>HYPERLINK("https://files.afu.se/Downloads/Transcripts/0%20-%20Government/USA%20-%20NASA%20Kennedy/2014 09 12 - NASA's Kennedy Space Center - Inside KSC!_55O3GowGIiI - transcript (automated).pdf","Transcript Link")</f>
        <v>Transcript Link</v>
      </c>
      <c r="M1035" s="2" t="str">
        <f>HYPERLINK("https://files.afu.se/Downloads/Transcripts/0%20-%20Government/USA%20-%20NASA%20Kennedy/2014 09 12 - NASA's Kennedy Space Center - Inside KSC!_55O3GowGIiI - transcript (automated).pdf","Transcript Link")</f>
        <v>Transcript Link</v>
      </c>
    </row>
    <row r="1036" ht="180" spans="1:13">
      <c r="A1036" s="1" t="s">
        <v>4802</v>
      </c>
      <c r="B1036" s="1" t="s">
        <v>13</v>
      </c>
      <c r="C1036" s="4" t="s">
        <v>4803</v>
      </c>
      <c r="D1036" s="1" t="s">
        <v>4804</v>
      </c>
      <c r="E1036" s="1" t="s">
        <v>4805</v>
      </c>
      <c r="F1036" s="4" t="s">
        <v>17</v>
      </c>
      <c r="G1036" s="1" t="s">
        <v>18</v>
      </c>
      <c r="H1036" s="1" t="s">
        <v>19</v>
      </c>
      <c r="I1036" s="1" t="s">
        <v>20</v>
      </c>
      <c r="J1036" s="1" t="s">
        <v>4806</v>
      </c>
      <c r="K1036" s="1" t="s">
        <v>22</v>
      </c>
      <c r="L1036" s="1" t="str">
        <f>HYPERLINK("https://files.afu.se/Downloads/Transcripts/0%20-%20Government/USA%20-%20NASA%20Kennedy/2014 09 11 - NASA's Kennedy Space Center - NASA’s Orion Spacecraft Moves in Preparation for First Flight_3jWe_gzozXE - transcript (automated).pdf","Transcript Link")</f>
        <v>Transcript Link</v>
      </c>
      <c r="M1036" s="2" t="str">
        <f>HYPERLINK("https://files.afu.se/Downloads/Transcripts/0%20-%20Government/USA%20-%20NASA%20Kennedy/2014 09 11 - NASA's Kennedy Space Center - NASA’s Orion Spacecraft Moves in Preparation for First Flight_3jWe_gzozXE - transcript (automated).pdf","Transcript Link")</f>
        <v>Transcript Link</v>
      </c>
    </row>
    <row r="1037" ht="180" spans="1:13">
      <c r="A1037" s="1" t="s">
        <v>4807</v>
      </c>
      <c r="B1037" s="1" t="s">
        <v>13</v>
      </c>
      <c r="C1037" s="4" t="s">
        <v>4808</v>
      </c>
      <c r="D1037" s="1" t="s">
        <v>4809</v>
      </c>
      <c r="E1037" s="1" t="s">
        <v>4810</v>
      </c>
      <c r="F1037" s="4" t="s">
        <v>17</v>
      </c>
      <c r="G1037" s="1" t="s">
        <v>18</v>
      </c>
      <c r="H1037" s="1" t="s">
        <v>19</v>
      </c>
      <c r="I1037" s="1" t="s">
        <v>20</v>
      </c>
      <c r="J1037" s="1" t="s">
        <v>4811</v>
      </c>
      <c r="K1037" s="1" t="s">
        <v>22</v>
      </c>
      <c r="L1037" s="1" t="str">
        <f>HYPERLINK("https://files.afu.se/Downloads/Transcripts/0%20-%20Government/USA%20-%20NASA%20Kennedy/2014 08 16 - NASA's Kennedy Space Center - Brad Paisley Leaks Song at NASA’s Kennedy Space Center_LwZ2QUu-RJ8 - transcript (automated).pdf","Transcript Link")</f>
        <v>Transcript Link</v>
      </c>
      <c r="M1037" s="2" t="str">
        <f>HYPERLINK("https://files.afu.se/Downloads/Transcripts/0%20-%20Government/USA%20-%20NASA%20Kennedy/2014 08 16 - NASA's Kennedy Space Center - Brad Paisley Leaks Song at NASA’s Kennedy Space Center_LwZ2QUu-RJ8 - transcript (automated).pdf","Transcript Link")</f>
        <v>Transcript Link</v>
      </c>
    </row>
    <row r="1038" ht="180" spans="1:13">
      <c r="A1038" s="1" t="s">
        <v>4812</v>
      </c>
      <c r="B1038" s="1" t="s">
        <v>13</v>
      </c>
      <c r="C1038" s="4" t="s">
        <v>4813</v>
      </c>
      <c r="D1038" s="1" t="s">
        <v>4814</v>
      </c>
      <c r="E1038" s="1" t="s">
        <v>4815</v>
      </c>
      <c r="F1038" s="4" t="s">
        <v>17</v>
      </c>
      <c r="G1038" s="1" t="s">
        <v>18</v>
      </c>
      <c r="H1038" s="1" t="s">
        <v>19</v>
      </c>
      <c r="I1038" s="1" t="s">
        <v>20</v>
      </c>
      <c r="J1038" s="1" t="s">
        <v>4816</v>
      </c>
      <c r="K1038" s="1" t="s">
        <v>22</v>
      </c>
      <c r="L1038" s="1" t="str">
        <f>HYPERLINK("https://files.afu.se/Downloads/Transcripts/0%20-%20Government/USA%20-%20NASA%20Kennedy/2014 08 04 - NASA's Kennedy Space Center - Historic NASA Facility Named for Neil Armstrong_G_2IFyWXNeA - transcript (automated).pdf","Transcript Link")</f>
        <v>Transcript Link</v>
      </c>
      <c r="M1038" s="2" t="str">
        <f>HYPERLINK("https://files.afu.se/Downloads/Transcripts/0%20-%20Government/USA%20-%20NASA%20Kennedy/2014 08 04 - NASA's Kennedy Space Center - Historic NASA Facility Named for Neil Armstrong_G_2IFyWXNeA - transcript (automated).pdf","Transcript Link")</f>
        <v>Transcript Link</v>
      </c>
    </row>
    <row r="1039" ht="180" spans="1:13">
      <c r="A1039" s="1" t="s">
        <v>4817</v>
      </c>
      <c r="B1039" s="1" t="s">
        <v>13</v>
      </c>
      <c r="C1039" s="4" t="s">
        <v>4818</v>
      </c>
      <c r="D1039" s="1" t="s">
        <v>4819</v>
      </c>
      <c r="E1039" s="1" t="s">
        <v>4820</v>
      </c>
      <c r="F1039" s="4" t="s">
        <v>17</v>
      </c>
      <c r="G1039" s="1" t="s">
        <v>18</v>
      </c>
      <c r="H1039" s="1" t="s">
        <v>19</v>
      </c>
      <c r="I1039" s="1" t="s">
        <v>20</v>
      </c>
      <c r="J1039" s="1" t="s">
        <v>4821</v>
      </c>
      <c r="K1039" s="1" t="s">
        <v>22</v>
      </c>
      <c r="L1039" s="1" t="str">
        <f>HYPERLINK("https://files.afu.se/Downloads/Transcripts/0%20-%20Government/USA%20-%20NASA%20Kennedy/2014 07 14 - NASA's Kennedy Space Center - NASA's LCC  Building the Brains of Launch Operations_R8aByl2fK5I - transcript (automated).pdf","Transcript Link")</f>
        <v>Transcript Link</v>
      </c>
      <c r="M1039" s="2" t="str">
        <f>HYPERLINK("https://files.afu.se/Downloads/Transcripts/0%20-%20Government/USA%20-%20NASA%20Kennedy/2014 07 14 - NASA's Kennedy Space Center - NASA's LCC  Building the Brains of Launch Operations_R8aByl2fK5I - transcript (automated).pdf","Transcript Link")</f>
        <v>Transcript Link</v>
      </c>
    </row>
    <row r="1040" ht="180" spans="1:13">
      <c r="A1040" s="1" t="s">
        <v>4822</v>
      </c>
      <c r="B1040" s="1" t="s">
        <v>13</v>
      </c>
      <c r="C1040" s="4" t="s">
        <v>4823</v>
      </c>
      <c r="D1040" s="1" t="s">
        <v>4824</v>
      </c>
      <c r="E1040" s="1" t="s">
        <v>4825</v>
      </c>
      <c r="F1040" s="4" t="s">
        <v>17</v>
      </c>
      <c r="G1040" s="1" t="s">
        <v>18</v>
      </c>
      <c r="H1040" s="1" t="s">
        <v>19</v>
      </c>
      <c r="I1040" s="1" t="s">
        <v>20</v>
      </c>
      <c r="J1040" s="1" t="s">
        <v>4826</v>
      </c>
      <c r="K1040" s="1" t="s">
        <v>22</v>
      </c>
      <c r="L1040" s="1" t="str">
        <f>HYPERLINK("https://files.afu.se/Downloads/Transcripts/0%20-%20Government/USA%20-%20NASA%20Kennedy/2014 07 02 - NASA's Kennedy Space Center - Interview with NASA Launch Manager_qt6AxlrN_Ns - transcript (automated).pdf","Transcript Link")</f>
        <v>Transcript Link</v>
      </c>
      <c r="M1040" s="2" t="str">
        <f>HYPERLINK("https://files.afu.se/Downloads/Transcripts/0%20-%20Government/USA%20-%20NASA%20Kennedy/2014 07 02 - NASA's Kennedy Space Center - Interview with NASA Launch Manager_qt6AxlrN_Ns - transcript (automated).pdf","Transcript Link")</f>
        <v>Transcript Link</v>
      </c>
    </row>
    <row r="1041" ht="180" spans="1:13">
      <c r="A1041" s="1" t="s">
        <v>4822</v>
      </c>
      <c r="B1041" s="1" t="s">
        <v>13</v>
      </c>
      <c r="C1041" s="4" t="s">
        <v>4827</v>
      </c>
      <c r="D1041" s="1" t="s">
        <v>4828</v>
      </c>
      <c r="E1041" s="1" t="s">
        <v>4829</v>
      </c>
      <c r="F1041" s="4" t="s">
        <v>17</v>
      </c>
      <c r="G1041" s="1" t="s">
        <v>18</v>
      </c>
      <c r="H1041" s="1" t="s">
        <v>19</v>
      </c>
      <c r="I1041" s="1" t="s">
        <v>20</v>
      </c>
      <c r="J1041" s="1" t="s">
        <v>4830</v>
      </c>
      <c r="K1041" s="1" t="s">
        <v>22</v>
      </c>
      <c r="L1041" s="1" t="str">
        <f>HYPERLINK("https://files.afu.se/Downloads/Transcripts/0%20-%20Government/USA%20-%20NASA%20Kennedy/2014 07 02 - NASA's Kennedy Space Center - OCO-2 Satellite Separation__hwFYPadnbk - transcript (automated).pdf","Transcript Link")</f>
        <v>Transcript Link</v>
      </c>
      <c r="M1041" s="2" t="str">
        <f>HYPERLINK("https://files.afu.se/Downloads/Transcripts/0%20-%20Government/USA%20-%20NASA%20Kennedy/2014 07 02 - NASA's Kennedy Space Center - OCO-2 Satellite Separation__hwFYPadnbk - transcript (automated).pdf","Transcript Link")</f>
        <v>Transcript Link</v>
      </c>
    </row>
    <row r="1042" ht="180" spans="1:13">
      <c r="A1042" s="1" t="s">
        <v>4822</v>
      </c>
      <c r="B1042" s="1" t="s">
        <v>13</v>
      </c>
      <c r="C1042" s="4" t="s">
        <v>4831</v>
      </c>
      <c r="D1042" s="1" t="s">
        <v>4832</v>
      </c>
      <c r="E1042" s="1" t="s">
        <v>4833</v>
      </c>
      <c r="F1042" s="4" t="s">
        <v>17</v>
      </c>
      <c r="G1042" s="1" t="s">
        <v>18</v>
      </c>
      <c r="H1042" s="1" t="s">
        <v>19</v>
      </c>
      <c r="I1042" s="1" t="s">
        <v>20</v>
      </c>
      <c r="J1042" s="1" t="s">
        <v>4834</v>
      </c>
      <c r="K1042" s="1" t="s">
        <v>22</v>
      </c>
      <c r="L1042" s="1" t="str">
        <f>HYPERLINK("https://files.afu.se/Downloads/Transcripts/0%20-%20Government/USA%20-%20NASA%20Kennedy/2014 07 02 - NASA's Kennedy Space Center - Liftoff of OCO-2_njf67aov4XA - transcript (automated).pdf","Transcript Link")</f>
        <v>Transcript Link</v>
      </c>
      <c r="M1042" s="2" t="str">
        <f>HYPERLINK("https://files.afu.se/Downloads/Transcripts/0%20-%20Government/USA%20-%20NASA%20Kennedy/2014 07 02 - NASA's Kennedy Space Center - Liftoff of OCO-2_njf67aov4XA - transcript (automated).pdf","Transcript Link")</f>
        <v>Transcript Link</v>
      </c>
    </row>
    <row r="1043" ht="180" spans="1:13">
      <c r="A1043" s="1" t="s">
        <v>4822</v>
      </c>
      <c r="B1043" s="1" t="s">
        <v>13</v>
      </c>
      <c r="C1043" s="4" t="s">
        <v>4835</v>
      </c>
      <c r="D1043" s="1" t="s">
        <v>4836</v>
      </c>
      <c r="E1043" s="1" t="s">
        <v>4837</v>
      </c>
      <c r="F1043" s="4" t="s">
        <v>17</v>
      </c>
      <c r="G1043" s="1" t="s">
        <v>18</v>
      </c>
      <c r="H1043" s="1" t="s">
        <v>19</v>
      </c>
      <c r="I1043" s="1" t="s">
        <v>20</v>
      </c>
      <c r="J1043" s="1" t="s">
        <v>4838</v>
      </c>
      <c r="K1043" s="1" t="s">
        <v>22</v>
      </c>
      <c r="L1043" s="1" t="str">
        <f>HYPERLINK("https://files.afu.se/Downloads/Transcripts/0%20-%20Government/USA%20-%20NASA%20Kennedy/2014 07 02 - NASA's Kennedy Space Center - OCO-2 &amp; Delta II Ready for Launch_7iOBtNkF32I - transcript (automated).pdf","Transcript Link")</f>
        <v>Transcript Link</v>
      </c>
      <c r="M1043" s="2" t="str">
        <f>HYPERLINK("https://files.afu.se/Downloads/Transcripts/0%20-%20Government/USA%20-%20NASA%20Kennedy/2014 07 02 - NASA's Kennedy Space Center - OCO-2 &amp; Delta II Ready for Launch_7iOBtNkF32I - transcript (automated).pdf","Transcript Link")</f>
        <v>Transcript Link</v>
      </c>
    </row>
    <row r="1044" ht="180" spans="1:13">
      <c r="A1044" s="1" t="s">
        <v>4822</v>
      </c>
      <c r="B1044" s="1" t="s">
        <v>13</v>
      </c>
      <c r="C1044" s="4" t="s">
        <v>4839</v>
      </c>
      <c r="D1044" s="1" t="s">
        <v>4840</v>
      </c>
      <c r="E1044" s="1" t="s">
        <v>4841</v>
      </c>
      <c r="F1044" s="4" t="s">
        <v>17</v>
      </c>
      <c r="G1044" s="1" t="s">
        <v>18</v>
      </c>
      <c r="H1044" s="1" t="s">
        <v>19</v>
      </c>
      <c r="I1044" s="1" t="s">
        <v>20</v>
      </c>
      <c r="J1044" s="1" t="s">
        <v>4842</v>
      </c>
      <c r="K1044" s="1" t="s">
        <v>22</v>
      </c>
      <c r="L1044" s="1" t="str">
        <f>HYPERLINK("https://files.afu.se/Downloads/Transcripts/0%20-%20Government/USA%20-%20NASA%20Kennedy/2014 07 02 - NASA's Kennedy Space Center - NASA OCO-2 Countdown Underway at Vandenberg AFB_4DR9IPb_YYE - transcript (automated).pdf","Transcript Link")</f>
        <v>Transcript Link</v>
      </c>
      <c r="M1044" s="2" t="str">
        <f>HYPERLINK("https://files.afu.se/Downloads/Transcripts/0%20-%20Government/USA%20-%20NASA%20Kennedy/2014 07 02 - NASA's Kennedy Space Center - NASA OCO-2 Countdown Underway at Vandenberg AFB_4DR9IPb_YYE - transcript (automated).pdf","Transcript Link")</f>
        <v>Transcript Link</v>
      </c>
    </row>
    <row r="1045" ht="180" spans="1:13">
      <c r="A1045" s="1" t="s">
        <v>4843</v>
      </c>
      <c r="B1045" s="1" t="s">
        <v>13</v>
      </c>
      <c r="C1045" s="4" t="s">
        <v>4844</v>
      </c>
      <c r="D1045" s="1" t="s">
        <v>4845</v>
      </c>
      <c r="E1045" s="1" t="s">
        <v>4846</v>
      </c>
      <c r="F1045" s="4" t="s">
        <v>17</v>
      </c>
      <c r="G1045" s="1" t="s">
        <v>18</v>
      </c>
      <c r="H1045" s="1" t="s">
        <v>19</v>
      </c>
      <c r="I1045" s="1" t="s">
        <v>20</v>
      </c>
      <c r="J1045" s="1" t="s">
        <v>4847</v>
      </c>
      <c r="K1045" s="1" t="s">
        <v>22</v>
      </c>
      <c r="L1045" s="1" t="str">
        <f>HYPERLINK("https://files.afu.se/Downloads/Transcripts/0%20-%20Government/USA%20-%20NASA%20Kennedy/2014 07 01 - NASA's Kennedy Space Center - OCO-2 Launch Postponed_C8KhYA9L9qI - transcript (automated).pdf","Transcript Link")</f>
        <v>Transcript Link</v>
      </c>
      <c r="M1045" s="2" t="str">
        <f>HYPERLINK("https://files.afu.se/Downloads/Transcripts/0%20-%20Government/USA%20-%20NASA%20Kennedy/2014 07 01 - NASA's Kennedy Space Center - OCO-2 Launch Postponed_C8KhYA9L9qI - transcript (automated).pdf","Transcript Link")</f>
        <v>Transcript Link</v>
      </c>
    </row>
    <row r="1046" ht="180" spans="1:13">
      <c r="A1046" s="1" t="s">
        <v>4843</v>
      </c>
      <c r="B1046" s="1" t="s">
        <v>13</v>
      </c>
      <c r="C1046" s="4" t="s">
        <v>4848</v>
      </c>
      <c r="D1046" s="1" t="s">
        <v>4849</v>
      </c>
      <c r="E1046" s="1" t="s">
        <v>4850</v>
      </c>
      <c r="F1046" s="4" t="s">
        <v>17</v>
      </c>
      <c r="G1046" s="1" t="s">
        <v>18</v>
      </c>
      <c r="H1046" s="1" t="s">
        <v>19</v>
      </c>
      <c r="I1046" s="1" t="s">
        <v>20</v>
      </c>
      <c r="J1046" s="1" t="s">
        <v>4851</v>
      </c>
      <c r="K1046" s="1" t="s">
        <v>22</v>
      </c>
      <c r="L1046" s="1" t="str">
        <f>HYPERLINK("https://files.afu.se/Downloads/Transcripts/0%20-%20Government/USA%20-%20NASA%20Kennedy/2014 07 01 - NASA's Kennedy Space Center - OCO-2 Countdown Underway_V15bK8Leuf0 - transcript (automated).pdf","Transcript Link")</f>
        <v>Transcript Link</v>
      </c>
      <c r="M1046" s="2" t="str">
        <f>HYPERLINK("https://files.afu.se/Downloads/Transcripts/0%20-%20Government/USA%20-%20NASA%20Kennedy/2014 07 01 - NASA's Kennedy Space Center - OCO-2 Countdown Underway_V15bK8Leuf0 - transcript (automated).pdf","Transcript Link")</f>
        <v>Transcript Link</v>
      </c>
    </row>
    <row r="1047" ht="180" spans="1:13">
      <c r="A1047" s="1" t="s">
        <v>4843</v>
      </c>
      <c r="B1047" s="1" t="s">
        <v>13</v>
      </c>
      <c r="C1047" s="4" t="s">
        <v>4852</v>
      </c>
      <c r="D1047" s="1" t="s">
        <v>4853</v>
      </c>
      <c r="E1047" s="1" t="s">
        <v>4854</v>
      </c>
      <c r="F1047" s="4" t="s">
        <v>17</v>
      </c>
      <c r="G1047" s="1" t="s">
        <v>18</v>
      </c>
      <c r="H1047" s="1" t="s">
        <v>19</v>
      </c>
      <c r="I1047" s="1" t="s">
        <v>20</v>
      </c>
      <c r="J1047" s="1" t="s">
        <v>4855</v>
      </c>
      <c r="K1047" s="1" t="s">
        <v>22</v>
      </c>
      <c r="L1047" s="1" t="str">
        <f>HYPERLINK("https://files.afu.se/Downloads/Transcripts/0%20-%20Government/USA%20-%20NASA%20Kennedy/2014 07 01 - NASA's Kennedy Space Center - Launch Pad Gantry Rolls back for OCO-2 Launch_KFPHbfl9F9Q - transcript (automated).pdf","Transcript Link")</f>
        <v>Transcript Link</v>
      </c>
      <c r="M1047" s="2" t="str">
        <f>HYPERLINK("https://files.afu.se/Downloads/Transcripts/0%20-%20Government/USA%20-%20NASA%20Kennedy/2014 07 01 - NASA's Kennedy Space Center - Launch Pad Gantry Rolls back for OCO-2 Launch_KFPHbfl9F9Q - transcript (automated).pdf","Transcript Link")</f>
        <v>Transcript Link</v>
      </c>
    </row>
    <row r="1048" ht="180" spans="1:13">
      <c r="A1048" s="1" t="s">
        <v>4856</v>
      </c>
      <c r="B1048" s="1" t="s">
        <v>13</v>
      </c>
      <c r="C1048" s="4" t="s">
        <v>4857</v>
      </c>
      <c r="D1048" s="1" t="s">
        <v>4858</v>
      </c>
      <c r="E1048" s="1" t="s">
        <v>4859</v>
      </c>
      <c r="F1048" s="4" t="s">
        <v>17</v>
      </c>
      <c r="G1048" s="1" t="s">
        <v>18</v>
      </c>
      <c r="H1048" s="1" t="s">
        <v>19</v>
      </c>
      <c r="I1048" s="1" t="s">
        <v>20</v>
      </c>
      <c r="J1048" s="1" t="s">
        <v>4860</v>
      </c>
      <c r="K1048" s="1" t="s">
        <v>22</v>
      </c>
      <c r="L1048" s="1" t="str">
        <f>HYPERLINK("https://files.afu.se/Downloads/Transcripts/0%20-%20Government/USA%20-%20NASA%20Kennedy/2014 06 30 - NASA's Kennedy Space Center - OCO-2 and Delta II Prepared for Launch_fxdG6XouJBs - transcript (automated).pdf","Transcript Link")</f>
        <v>Transcript Link</v>
      </c>
      <c r="M1048" s="2" t="str">
        <f>HYPERLINK("https://files.afu.se/Downloads/Transcripts/0%20-%20Government/USA%20-%20NASA%20Kennedy/2014 06 30 - NASA's Kennedy Space Center - OCO-2 and Delta II Prepared for Launch_fxdG6XouJBs - transcript (automated).pdf","Transcript Link")</f>
        <v>Transcript Link</v>
      </c>
    </row>
    <row r="1049" ht="180" spans="1:13">
      <c r="A1049" s="1" t="s">
        <v>4856</v>
      </c>
      <c r="B1049" s="1" t="s">
        <v>13</v>
      </c>
      <c r="C1049" s="4" t="s">
        <v>4861</v>
      </c>
      <c r="D1049" s="1" t="s">
        <v>4862</v>
      </c>
      <c r="E1049" s="1" t="s">
        <v>4863</v>
      </c>
      <c r="F1049" s="4" t="s">
        <v>17</v>
      </c>
      <c r="G1049" s="1" t="s">
        <v>18</v>
      </c>
      <c r="H1049" s="1" t="s">
        <v>19</v>
      </c>
      <c r="I1049" s="1" t="s">
        <v>20</v>
      </c>
      <c r="J1049" s="1" t="s">
        <v>4864</v>
      </c>
      <c r="K1049" s="1" t="s">
        <v>22</v>
      </c>
      <c r="L1049" s="1" t="str">
        <f>HYPERLINK("https://files.afu.se/Downloads/Transcripts/0%20-%20Government/USA%20-%20NASA%20Kennedy/2014 06 30 - NASA's Kennedy Space Center - OCO-2 to Shed Light on Global Carbon Cycle_X5VWayNrtWk - transcript (automated).pdf","Transcript Link")</f>
        <v>Transcript Link</v>
      </c>
      <c r="M1049" s="2" t="str">
        <f>HYPERLINK("https://files.afu.se/Downloads/Transcripts/0%20-%20Government/USA%20-%20NASA%20Kennedy/2014 06 30 - NASA's Kennedy Space Center - OCO-2 to Shed Light on Global Carbon Cycle_X5VWayNrtWk - transcript (automated).pdf","Transcript Link")</f>
        <v>Transcript Link</v>
      </c>
    </row>
    <row r="1050" ht="180" spans="1:13">
      <c r="A1050" s="1" t="s">
        <v>4865</v>
      </c>
      <c r="B1050" s="1" t="s">
        <v>13</v>
      </c>
      <c r="C1050" s="4" t="s">
        <v>4866</v>
      </c>
      <c r="D1050" s="1" t="s">
        <v>4867</v>
      </c>
      <c r="E1050" s="1" t="s">
        <v>4868</v>
      </c>
      <c r="F1050" s="4" t="s">
        <v>17</v>
      </c>
      <c r="G1050" s="1" t="s">
        <v>18</v>
      </c>
      <c r="H1050" s="1" t="s">
        <v>19</v>
      </c>
      <c r="I1050" s="1" t="s">
        <v>20</v>
      </c>
      <c r="J1050" s="1" t="s">
        <v>4869</v>
      </c>
      <c r="K1050" s="1" t="s">
        <v>22</v>
      </c>
      <c r="L1050" s="1" t="str">
        <f>HYPERLINK("https://files.afu.se/Downloads/Transcripts/0%20-%20Government/USA%20-%20NASA%20Kennedy/2014 06 19 - NASA's Kennedy Space Center - Orion Spacecraft Taking Shape for First Flight Test_NsT8YxptiBQ - transcript (automated).pdf","Transcript Link")</f>
        <v>Transcript Link</v>
      </c>
      <c r="M1050" s="2" t="str">
        <f>HYPERLINK("https://files.afu.se/Downloads/Transcripts/0%20-%20Government/USA%20-%20NASA%20Kennedy/2014 06 19 - NASA's Kennedy Space Center - Orion Spacecraft Taking Shape for First Flight Test_NsT8YxptiBQ - transcript (automated).pdf","Transcript Link")</f>
        <v>Transcript Link</v>
      </c>
    </row>
    <row r="1051" ht="180" spans="1:13">
      <c r="A1051" s="1" t="s">
        <v>4865</v>
      </c>
      <c r="B1051" s="1" t="s">
        <v>13</v>
      </c>
      <c r="C1051" s="4" t="s">
        <v>4870</v>
      </c>
      <c r="D1051" s="1" t="s">
        <v>4871</v>
      </c>
      <c r="E1051" s="1" t="s">
        <v>4872</v>
      </c>
      <c r="F1051" s="4" t="s">
        <v>17</v>
      </c>
      <c r="G1051" s="1" t="s">
        <v>18</v>
      </c>
      <c r="H1051" s="1" t="s">
        <v>19</v>
      </c>
      <c r="I1051" s="1" t="s">
        <v>20</v>
      </c>
      <c r="J1051" s="1" t="s">
        <v>4873</v>
      </c>
      <c r="K1051" s="1" t="s">
        <v>22</v>
      </c>
      <c r="L1051" s="1" t="str">
        <f>HYPERLINK("https://files.afu.se/Downloads/Transcripts/0%20-%20Government/USA%20-%20NASA%20Kennedy/2014 06 19 - NASA's Kennedy Space Center - Boeing Details Its Plans for CST-100 Assembly at Kennedy_mvq34Uah7jk - transcript (automated).pdf","Transcript Link")</f>
        <v>Transcript Link</v>
      </c>
      <c r="M1051" s="2" t="str">
        <f>HYPERLINK("https://files.afu.se/Downloads/Transcripts/0%20-%20Government/USA%20-%20NASA%20Kennedy/2014 06 19 - NASA's Kennedy Space Center - Boeing Details Its Plans for CST-100 Assembly at Kennedy_mvq34Uah7jk - transcript (automated).pdf","Transcript Link")</f>
        <v>Transcript Link</v>
      </c>
    </row>
    <row r="1052" ht="180" spans="1:13">
      <c r="A1052" s="1" t="s">
        <v>4874</v>
      </c>
      <c r="B1052" s="1" t="s">
        <v>13</v>
      </c>
      <c r="C1052" s="4" t="s">
        <v>4875</v>
      </c>
      <c r="D1052" s="1" t="s">
        <v>4876</v>
      </c>
      <c r="E1052" s="1" t="s">
        <v>4877</v>
      </c>
      <c r="F1052" s="4" t="s">
        <v>17</v>
      </c>
      <c r="G1052" s="1" t="s">
        <v>18</v>
      </c>
      <c r="H1052" s="1" t="s">
        <v>19</v>
      </c>
      <c r="I1052" s="1" t="s">
        <v>20</v>
      </c>
      <c r="J1052" s="1" t="s">
        <v>4878</v>
      </c>
      <c r="K1052" s="1" t="s">
        <v>22</v>
      </c>
      <c r="L1052" s="1" t="str">
        <f>HYPERLINK("https://files.afu.se/Downloads/Transcripts/0%20-%20Government/USA%20-%20NASA%20Kennedy/2014 06 17 - NASA's Kennedy Space Center - Fire Rescue Training Focuses on Safe Helicopter Evacuations_ZX7rHlKGiUo - transcript (automated).pdf","Transcript Link")</f>
        <v>Transcript Link</v>
      </c>
      <c r="M1052" s="2" t="str">
        <f>HYPERLINK("https://files.afu.se/Downloads/Transcripts/0%20-%20Government/USA%20-%20NASA%20Kennedy/2014 06 17 - NASA's Kennedy Space Center - Fire Rescue Training Focuses on Safe Helicopter Evacuations_ZX7rHlKGiUo - transcript (automated).pdf","Transcript Link")</f>
        <v>Transcript Link</v>
      </c>
    </row>
    <row r="1053" ht="180" spans="1:13">
      <c r="A1053" s="1" t="s">
        <v>4879</v>
      </c>
      <c r="B1053" s="1" t="s">
        <v>13</v>
      </c>
      <c r="C1053" s="4" t="s">
        <v>4880</v>
      </c>
      <c r="D1053" s="1" t="s">
        <v>4881</v>
      </c>
      <c r="E1053" s="1" t="s">
        <v>4882</v>
      </c>
      <c r="F1053" s="4" t="s">
        <v>17</v>
      </c>
      <c r="G1053" s="1" t="s">
        <v>18</v>
      </c>
      <c r="H1053" s="1" t="s">
        <v>19</v>
      </c>
      <c r="I1053" s="1" t="s">
        <v>20</v>
      </c>
      <c r="J1053" s="1" t="s">
        <v>4883</v>
      </c>
      <c r="K1053" s="1" t="s">
        <v>22</v>
      </c>
      <c r="L1053" s="1" t="str">
        <f>HYPERLINK("https://files.afu.se/Downloads/Transcripts/0%20-%20Government/USA%20-%20NASA%20Kennedy/2014 06 05 - NASA's Kennedy Space Center - Nature Meets Technology at Kennedy Space Center_lJ7HZkkiRtU - transcript (automated).pdf","Transcript Link")</f>
        <v>Transcript Link</v>
      </c>
      <c r="M1053" s="2" t="str">
        <f>HYPERLINK("https://files.afu.se/Downloads/Transcripts/0%20-%20Government/USA%20-%20NASA%20Kennedy/2014 06 05 - NASA's Kennedy Space Center - Nature Meets Technology at Kennedy Space Center_lJ7HZkkiRtU - transcript (automated).pdf","Transcript Link")</f>
        <v>Transcript Link</v>
      </c>
    </row>
    <row r="1054" ht="180" spans="1:13">
      <c r="A1054" s="1" t="s">
        <v>4884</v>
      </c>
      <c r="B1054" s="1" t="s">
        <v>13</v>
      </c>
      <c r="C1054" s="4" t="s">
        <v>4885</v>
      </c>
      <c r="D1054" s="1" t="s">
        <v>4886</v>
      </c>
      <c r="E1054" s="1" t="s">
        <v>4887</v>
      </c>
      <c r="F1054" s="4" t="s">
        <v>17</v>
      </c>
      <c r="G1054" s="1" t="s">
        <v>18</v>
      </c>
      <c r="H1054" s="1" t="s">
        <v>19</v>
      </c>
      <c r="I1054" s="1" t="s">
        <v>20</v>
      </c>
      <c r="J1054" s="1" t="s">
        <v>4888</v>
      </c>
      <c r="K1054" s="1" t="s">
        <v>22</v>
      </c>
      <c r="L1054" s="1" t="str">
        <f>HYPERLINK("https://files.afu.se/Downloads/Transcripts/0%20-%20Government/USA%20-%20NASA%20Kennedy/2014 05 30 - NASA's Kennedy Space Center - SpaceX Unveils Dragon V2_n-dYG1_erJw - transcript (automated).pdf","Transcript Link")</f>
        <v>Transcript Link</v>
      </c>
      <c r="M1054" s="2" t="str">
        <f>HYPERLINK("https://files.afu.se/Downloads/Transcripts/0%20-%20Government/USA%20-%20NASA%20Kennedy/2014 05 30 - NASA's Kennedy Space Center - SpaceX Unveils Dragon V2_n-dYG1_erJw - transcript (automated).pdf","Transcript Link")</f>
        <v>Transcript Link</v>
      </c>
    </row>
    <row r="1055" ht="180" spans="1:13">
      <c r="A1055" s="1" t="s">
        <v>4889</v>
      </c>
      <c r="B1055" s="1" t="s">
        <v>13</v>
      </c>
      <c r="C1055" s="4" t="s">
        <v>4890</v>
      </c>
      <c r="D1055" s="1" t="s">
        <v>4891</v>
      </c>
      <c r="E1055" s="1" t="s">
        <v>4892</v>
      </c>
      <c r="F1055" s="4" t="s">
        <v>17</v>
      </c>
      <c r="G1055" s="1" t="s">
        <v>18</v>
      </c>
      <c r="H1055" s="1" t="s">
        <v>19</v>
      </c>
      <c r="I1055" s="1" t="s">
        <v>20</v>
      </c>
      <c r="J1055" s="1" t="s">
        <v>4893</v>
      </c>
      <c r="K1055" s="1" t="s">
        <v>22</v>
      </c>
      <c r="L1055" s="1" t="str">
        <f>HYPERLINK("https://files.afu.se/Downloads/Transcripts/0%20-%20Government/USA%20-%20NASA%20Kennedy/2014 05 29 - NASA's Kennedy Space Center - Morpheus Completes Nighttime Flight Test_3Pbl8zR9o5o - transcript (automated).pdf","Transcript Link")</f>
        <v>Transcript Link</v>
      </c>
      <c r="M1055" s="2" t="str">
        <f>HYPERLINK("https://files.afu.se/Downloads/Transcripts/0%20-%20Government/USA%20-%20NASA%20Kennedy/2014 05 29 - NASA's Kennedy Space Center - Morpheus Completes Nighttime Flight Test_3Pbl8zR9o5o - transcript (automated).pdf","Transcript Link")</f>
        <v>Transcript Link</v>
      </c>
    </row>
    <row r="1056" ht="180" spans="1:13">
      <c r="A1056" s="1" t="s">
        <v>4894</v>
      </c>
      <c r="B1056" s="1" t="s">
        <v>13</v>
      </c>
      <c r="C1056" s="4" t="s">
        <v>4895</v>
      </c>
      <c r="D1056" s="1" t="s">
        <v>4896</v>
      </c>
      <c r="E1056" s="1" t="s">
        <v>4897</v>
      </c>
      <c r="F1056" s="4" t="s">
        <v>17</v>
      </c>
      <c r="G1056" s="1" t="s">
        <v>18</v>
      </c>
      <c r="H1056" s="1" t="s">
        <v>19</v>
      </c>
      <c r="I1056" s="1" t="s">
        <v>20</v>
      </c>
      <c r="J1056" s="1" t="s">
        <v>4898</v>
      </c>
      <c r="K1056" s="1" t="s">
        <v>22</v>
      </c>
      <c r="L1056" s="1" t="str">
        <f>HYPERLINK("https://files.afu.se/Downloads/Transcripts/0%20-%20Government/USA%20-%20NASA%20Kennedy/2014 05 22 - NASA's Kennedy Space Center - Morpheus Makes Free Flight at Kennedy Space Center_cbmqHg7uW3w - transcript (automated).pdf","Transcript Link")</f>
        <v>Transcript Link</v>
      </c>
      <c r="M1056" s="2" t="str">
        <f>HYPERLINK("https://files.afu.se/Downloads/Transcripts/0%20-%20Government/USA%20-%20NASA%20Kennedy/2014 05 22 - NASA's Kennedy Space Center - Morpheus Makes Free Flight at Kennedy Space Center_cbmqHg7uW3w - transcript (automated).pdf","Transcript Link")</f>
        <v>Transcript Link</v>
      </c>
    </row>
    <row r="1057" ht="180" spans="1:13">
      <c r="A1057" s="1" t="s">
        <v>4899</v>
      </c>
      <c r="B1057" s="1" t="s">
        <v>13</v>
      </c>
      <c r="C1057" s="4" t="s">
        <v>4900</v>
      </c>
      <c r="D1057" s="1" t="s">
        <v>4901</v>
      </c>
      <c r="E1057" s="1" t="s">
        <v>4902</v>
      </c>
      <c r="F1057" s="4" t="s">
        <v>17</v>
      </c>
      <c r="G1057" s="1" t="s">
        <v>18</v>
      </c>
      <c r="H1057" s="1" t="s">
        <v>19</v>
      </c>
      <c r="I1057" s="1" t="s">
        <v>20</v>
      </c>
      <c r="J1057" s="1" t="s">
        <v>4903</v>
      </c>
      <c r="K1057" s="1" t="s">
        <v>22</v>
      </c>
      <c r="L1057" s="1" t="str">
        <f>HYPERLINK("https://files.afu.se/Downloads/Transcripts/0%20-%20Government/USA%20-%20NASA%20Kennedy/2014 05 21 - NASA's Kennedy Space Center - NASA  Explorers Seek Adventure_K3O1YOf0Nio - transcript (automated).pdf","Transcript Link")</f>
        <v>Transcript Link</v>
      </c>
      <c r="M1057" s="2" t="str">
        <f>HYPERLINK("https://files.afu.se/Downloads/Transcripts/0%20-%20Government/USA%20-%20NASA%20Kennedy/2014 05 21 - NASA's Kennedy Space Center - NASA  Explorers Seek Adventure_K3O1YOf0Nio - transcript (automated).pdf","Transcript Link")</f>
        <v>Transcript Link</v>
      </c>
    </row>
    <row r="1058" ht="180" spans="1:13">
      <c r="A1058" s="1" t="s">
        <v>4904</v>
      </c>
      <c r="B1058" s="1" t="s">
        <v>13</v>
      </c>
      <c r="C1058" s="4" t="s">
        <v>4905</v>
      </c>
      <c r="D1058" s="1" t="s">
        <v>4906</v>
      </c>
      <c r="E1058" s="1" t="s">
        <v>4907</v>
      </c>
      <c r="F1058" s="4" t="s">
        <v>17</v>
      </c>
      <c r="G1058" s="1" t="s">
        <v>18</v>
      </c>
      <c r="H1058" s="1" t="s">
        <v>19</v>
      </c>
      <c r="I1058" s="1" t="s">
        <v>20</v>
      </c>
      <c r="J1058" s="1" t="s">
        <v>4908</v>
      </c>
      <c r="K1058" s="1" t="s">
        <v>22</v>
      </c>
      <c r="L1058" s="1" t="str">
        <f>HYPERLINK("https://files.afu.se/Downloads/Transcripts/0%20-%20Government/USA%20-%20NASA%20Kennedy/2014 05 19 - NASA's Kennedy Space Center - Wind Tunnel Tests Dream Chaser Design_kPj-g4DI-NY - transcript (automated).pdf","Transcript Link")</f>
        <v>Transcript Link</v>
      </c>
      <c r="M1058" s="2" t="str">
        <f>HYPERLINK("https://files.afu.se/Downloads/Transcripts/0%20-%20Government/USA%20-%20NASA%20Kennedy/2014 05 19 - NASA's Kennedy Space Center - Wind Tunnel Tests Dream Chaser Design_kPj-g4DI-NY - transcript (automated).pdf","Transcript Link")</f>
        <v>Transcript Link</v>
      </c>
    </row>
    <row r="1059" ht="180" spans="1:13">
      <c r="A1059" s="1" t="s">
        <v>4909</v>
      </c>
      <c r="B1059" s="1" t="s">
        <v>13</v>
      </c>
      <c r="C1059" s="4" t="s">
        <v>4910</v>
      </c>
      <c r="D1059" s="1" t="s">
        <v>4911</v>
      </c>
      <c r="E1059" s="1" t="s">
        <v>4912</v>
      </c>
      <c r="F1059" s="4" t="s">
        <v>17</v>
      </c>
      <c r="G1059" s="1" t="s">
        <v>18</v>
      </c>
      <c r="H1059" s="1" t="s">
        <v>19</v>
      </c>
      <c r="I1059" s="1" t="s">
        <v>20</v>
      </c>
      <c r="J1059" s="1" t="s">
        <v>4913</v>
      </c>
      <c r="K1059" s="1" t="s">
        <v>22</v>
      </c>
      <c r="L1059" s="1" t="str">
        <f>HYPERLINK("https://files.afu.se/Downloads/Transcripts/0%20-%20Government/USA%20-%20NASA%20Kennedy/2014 04 30 - NASA's Kennedy Space Center - Morpheus Completes Free Flight Test_f_excAMCuuo - transcript (automated).pdf","Transcript Link")</f>
        <v>Transcript Link</v>
      </c>
      <c r="M1059" s="2" t="str">
        <f>HYPERLINK("https://files.afu.se/Downloads/Transcripts/0%20-%20Government/USA%20-%20NASA%20Kennedy/2014 04 30 - NASA's Kennedy Space Center - Morpheus Completes Free Flight Test_f_excAMCuuo - transcript (automated).pdf","Transcript Link")</f>
        <v>Transcript Link</v>
      </c>
    </row>
    <row r="1060" ht="180" spans="1:13">
      <c r="A1060" s="1" t="s">
        <v>4914</v>
      </c>
      <c r="B1060" s="1" t="s">
        <v>13</v>
      </c>
      <c r="C1060" s="4" t="s">
        <v>4915</v>
      </c>
      <c r="D1060" s="1" t="s">
        <v>4911</v>
      </c>
      <c r="E1060" s="1" t="s">
        <v>4916</v>
      </c>
      <c r="F1060" s="4" t="s">
        <v>17</v>
      </c>
      <c r="G1060" s="1" t="s">
        <v>18</v>
      </c>
      <c r="H1060" s="1" t="s">
        <v>19</v>
      </c>
      <c r="I1060" s="1" t="s">
        <v>20</v>
      </c>
      <c r="J1060" s="1" t="s">
        <v>4917</v>
      </c>
      <c r="K1060" s="1" t="s">
        <v>22</v>
      </c>
      <c r="L1060" s="1" t="str">
        <f>HYPERLINK("https://files.afu.se/Downloads/Transcripts/0%20-%20Government/USA%20-%20NASA%20Kennedy/2014 04 24 - NASA's Kennedy Space Center - Morpheus Completes Free Flight Test_SJAEyNmA4LE - transcript (automated).pdf","Transcript Link")</f>
        <v>Transcript Link</v>
      </c>
      <c r="M1060" s="2" t="str">
        <f>HYPERLINK("https://files.afu.se/Downloads/Transcripts/0%20-%20Government/USA%20-%20NASA%20Kennedy/2014 04 24 - NASA's Kennedy Space Center - Morpheus Completes Free Flight Test_SJAEyNmA4LE - transcript (automated).pdf","Transcript Link")</f>
        <v>Transcript Link</v>
      </c>
    </row>
    <row r="1061" ht="180" spans="1:13">
      <c r="A1061" s="1" t="s">
        <v>4918</v>
      </c>
      <c r="B1061" s="1" t="s">
        <v>13</v>
      </c>
      <c r="C1061" s="4" t="s">
        <v>4919</v>
      </c>
      <c r="D1061" s="1" t="s">
        <v>4920</v>
      </c>
      <c r="E1061" s="1" t="s">
        <v>4921</v>
      </c>
      <c r="F1061" s="4" t="s">
        <v>17</v>
      </c>
      <c r="G1061" s="1" t="s">
        <v>18</v>
      </c>
      <c r="H1061" s="1" t="s">
        <v>19</v>
      </c>
      <c r="I1061" s="1" t="s">
        <v>20</v>
      </c>
      <c r="J1061" s="1" t="s">
        <v>4922</v>
      </c>
      <c r="K1061" s="1" t="s">
        <v>22</v>
      </c>
      <c r="L1061" s="1" t="str">
        <f>HYPERLINK("https://files.afu.se/Downloads/Transcripts/0%20-%20Government/USA%20-%20NASA%20Kennedy/2014 04 22 - NASA's Kennedy Space Center - Veggie Will Expand Fresh Food Production on Space Station_MRcmQO69DMg - transcript (automated).pdf","Transcript Link")</f>
        <v>Transcript Link</v>
      </c>
      <c r="M1061" s="2" t="str">
        <f>HYPERLINK("https://files.afu.se/Downloads/Transcripts/0%20-%20Government/USA%20-%20NASA%20Kennedy/2014 04 22 - NASA's Kennedy Space Center - Veggie Will Expand Fresh Food Production on Space Station_MRcmQO69DMg - transcript (automated).pdf","Transcript Link")</f>
        <v>Transcript Link</v>
      </c>
    </row>
    <row r="1062" ht="180" spans="1:13">
      <c r="A1062" s="1" t="s">
        <v>4923</v>
      </c>
      <c r="B1062" s="1" t="s">
        <v>13</v>
      </c>
      <c r="C1062" s="4" t="s">
        <v>4924</v>
      </c>
      <c r="D1062" s="1" t="s">
        <v>4925</v>
      </c>
      <c r="E1062" s="1" t="s">
        <v>4926</v>
      </c>
      <c r="F1062" s="4" t="s">
        <v>17</v>
      </c>
      <c r="G1062" s="1" t="s">
        <v>18</v>
      </c>
      <c r="H1062" s="1" t="s">
        <v>19</v>
      </c>
      <c r="I1062" s="1" t="s">
        <v>20</v>
      </c>
      <c r="J1062" s="1" t="s">
        <v>4927</v>
      </c>
      <c r="K1062" s="1" t="s">
        <v>22</v>
      </c>
      <c r="L1062" s="1" t="str">
        <f>HYPERLINK("https://files.afu.se/Downloads/Transcripts/0%20-%20Government/USA%20-%20NASA%20Kennedy/2014 04 21 - NASA's Kennedy Space Center - In Their Own Words  Kathy Lueders_t4HnpMYCXnM - transcript (automated).pdf","Transcript Link")</f>
        <v>Transcript Link</v>
      </c>
      <c r="M1062" s="2" t="str">
        <f>HYPERLINK("https://files.afu.se/Downloads/Transcripts/0%20-%20Government/USA%20-%20NASA%20Kennedy/2014 04 21 - NASA's Kennedy Space Center - In Their Own Words  Kathy Lueders_t4HnpMYCXnM - transcript (automated).pdf","Transcript Link")</f>
        <v>Transcript Link</v>
      </c>
    </row>
    <row r="1063" ht="180" spans="1:13">
      <c r="A1063" s="1" t="s">
        <v>4928</v>
      </c>
      <c r="B1063" s="1" t="s">
        <v>13</v>
      </c>
      <c r="C1063" s="4" t="s">
        <v>4929</v>
      </c>
      <c r="D1063" s="1" t="s">
        <v>4754</v>
      </c>
      <c r="E1063" s="1" t="s">
        <v>4930</v>
      </c>
      <c r="F1063" s="4" t="s">
        <v>17</v>
      </c>
      <c r="G1063" s="1" t="s">
        <v>18</v>
      </c>
      <c r="H1063" s="1" t="s">
        <v>19</v>
      </c>
      <c r="I1063" s="1" t="s">
        <v>20</v>
      </c>
      <c r="J1063" s="1" t="s">
        <v>4931</v>
      </c>
      <c r="K1063" s="1" t="s">
        <v>22</v>
      </c>
      <c r="L1063" s="1" t="str">
        <f>HYPERLINK("https://files.afu.se/Downloads/Transcripts/0%20-%20Government/USA%20-%20NASA%20Kennedy/2014 04 18 - NASA's Kennedy Space Center - Dragon Spacecraft Separation_Hq6ddp6Kx-U - transcript (automated).pdf","Transcript Link")</f>
        <v>Transcript Link</v>
      </c>
      <c r="M1063" s="2" t="str">
        <f>HYPERLINK("https://files.afu.se/Downloads/Transcripts/0%20-%20Government/USA%20-%20NASA%20Kennedy/2014 04 18 - NASA's Kennedy Space Center - Dragon Spacecraft Separation_Hq6ddp6Kx-U - transcript (automated).pdf","Transcript Link")</f>
        <v>Transcript Link</v>
      </c>
    </row>
    <row r="1064" ht="180" spans="1:13">
      <c r="A1064" s="1" t="s">
        <v>4928</v>
      </c>
      <c r="B1064" s="1" t="s">
        <v>13</v>
      </c>
      <c r="C1064" s="4" t="s">
        <v>4932</v>
      </c>
      <c r="D1064" s="1" t="s">
        <v>4933</v>
      </c>
      <c r="E1064" s="1" t="s">
        <v>4934</v>
      </c>
      <c r="F1064" s="4" t="s">
        <v>17</v>
      </c>
      <c r="G1064" s="1" t="s">
        <v>18</v>
      </c>
      <c r="H1064" s="1" t="s">
        <v>19</v>
      </c>
      <c r="I1064" s="1" t="s">
        <v>20</v>
      </c>
      <c r="J1064" s="1" t="s">
        <v>4935</v>
      </c>
      <c r="K1064" s="1" t="s">
        <v>22</v>
      </c>
      <c r="L1064" s="1" t="str">
        <f>HYPERLINK("https://files.afu.se/Downloads/Transcripts/0%20-%20Government/USA%20-%20NASA%20Kennedy/2014 04 18 - NASA's Kennedy Space Center - Liftoff of SpaceX-3_yi09XN3NaeI - transcript (automated).pdf","Transcript Link")</f>
        <v>Transcript Link</v>
      </c>
      <c r="M1064" s="2" t="str">
        <f>HYPERLINK("https://files.afu.se/Downloads/Transcripts/0%20-%20Government/USA%20-%20NASA%20Kennedy/2014 04 18 - NASA's Kennedy Space Center - Liftoff of SpaceX-3_yi09XN3NaeI - transcript (automated).pdf","Transcript Link")</f>
        <v>Transcript Link</v>
      </c>
    </row>
    <row r="1065" ht="180" spans="1:13">
      <c r="A1065" s="1" t="s">
        <v>4928</v>
      </c>
      <c r="B1065" s="1" t="s">
        <v>13</v>
      </c>
      <c r="C1065" s="4" t="s">
        <v>4936</v>
      </c>
      <c r="D1065" s="1" t="s">
        <v>4616</v>
      </c>
      <c r="E1065" s="1" t="s">
        <v>4762</v>
      </c>
      <c r="F1065" s="4" t="s">
        <v>17</v>
      </c>
      <c r="G1065" s="1" t="s">
        <v>18</v>
      </c>
      <c r="H1065" s="1" t="s">
        <v>19</v>
      </c>
      <c r="I1065" s="1" t="s">
        <v>20</v>
      </c>
      <c r="J1065" s="1" t="s">
        <v>4937</v>
      </c>
      <c r="K1065" s="1" t="s">
        <v>22</v>
      </c>
      <c r="L1065" s="1" t="str">
        <f>HYPERLINK("https://files.afu.se/Downloads/Transcripts/0%20-%20Government/USA%20-%20NASA%20Kennedy/2014 04 18 - NASA's Kennedy Space Center - Falcon 9 Ready for Launch_HN3BWoD7uEk - transcript (automated).pdf","Transcript Link")</f>
        <v>Transcript Link</v>
      </c>
      <c r="M1065" s="2" t="str">
        <f>HYPERLINK("https://files.afu.se/Downloads/Transcripts/0%20-%20Government/USA%20-%20NASA%20Kennedy/2014 04 18 - NASA's Kennedy Space Center - Falcon 9 Ready for Launch_HN3BWoD7uEk - transcript (automated).pdf","Transcript Link")</f>
        <v>Transcript Link</v>
      </c>
    </row>
    <row r="1066" ht="180" spans="1:13">
      <c r="A1066" s="1" t="s">
        <v>4928</v>
      </c>
      <c r="B1066" s="1" t="s">
        <v>13</v>
      </c>
      <c r="C1066" s="4" t="s">
        <v>4938</v>
      </c>
      <c r="D1066" s="1" t="s">
        <v>4939</v>
      </c>
      <c r="E1066" s="1" t="s">
        <v>4766</v>
      </c>
      <c r="F1066" s="4" t="s">
        <v>17</v>
      </c>
      <c r="G1066" s="1" t="s">
        <v>18</v>
      </c>
      <c r="H1066" s="1" t="s">
        <v>19</v>
      </c>
      <c r="I1066" s="1" t="s">
        <v>20</v>
      </c>
      <c r="J1066" s="1" t="s">
        <v>4940</v>
      </c>
      <c r="K1066" s="1" t="s">
        <v>22</v>
      </c>
      <c r="L1066" s="1" t="str">
        <f>HYPERLINK("https://files.afu.se/Downloads/Transcripts/0%20-%20Government/USA%20-%20NASA%20Kennedy/2014 04 18 - NASA's Kennedy Space Center - SpaceX-3 Countdown Underway_tjDb_ZTsc44 - transcript (automated).pdf","Transcript Link")</f>
        <v>Transcript Link</v>
      </c>
      <c r="M1066" s="2" t="str">
        <f>HYPERLINK("https://files.afu.se/Downloads/Transcripts/0%20-%20Government/USA%20-%20NASA%20Kennedy/2014 04 18 - NASA's Kennedy Space Center - SpaceX-3 Countdown Underway_tjDb_ZTsc44 - transcript (automated).pdf","Transcript Link")</f>
        <v>Transcript Link</v>
      </c>
    </row>
    <row r="1067" ht="180" spans="1:13">
      <c r="A1067" s="1" t="s">
        <v>4941</v>
      </c>
      <c r="B1067" s="1" t="s">
        <v>13</v>
      </c>
      <c r="C1067" s="4" t="s">
        <v>4942</v>
      </c>
      <c r="D1067" s="1" t="s">
        <v>4943</v>
      </c>
      <c r="E1067" s="1" t="s">
        <v>4944</v>
      </c>
      <c r="F1067" s="4" t="s">
        <v>17</v>
      </c>
      <c r="G1067" s="1" t="s">
        <v>18</v>
      </c>
      <c r="H1067" s="1" t="s">
        <v>19</v>
      </c>
      <c r="I1067" s="1" t="s">
        <v>20</v>
      </c>
      <c r="J1067" s="1" t="s">
        <v>4945</v>
      </c>
      <c r="K1067" s="1" t="s">
        <v>22</v>
      </c>
      <c r="L1067" s="1" t="str">
        <f>HYPERLINK("https://files.afu.se/Downloads/Transcripts/0%20-%20Government/USA%20-%20NASA%20Kennedy/2014 04 14 - NASA's Kennedy Space Center - SpaceX-3 Launch Postponed_oy2nHvDDssY - transcript (automated).pdf","Transcript Link")</f>
        <v>Transcript Link</v>
      </c>
      <c r="M1067" s="2" t="str">
        <f>HYPERLINK("https://files.afu.se/Downloads/Transcripts/0%20-%20Government/USA%20-%20NASA%20Kennedy/2014 04 14 - NASA's Kennedy Space Center - SpaceX-3 Launch Postponed_oy2nHvDDssY - transcript (automated).pdf","Transcript Link")</f>
        <v>Transcript Link</v>
      </c>
    </row>
    <row r="1068" ht="180" spans="1:13">
      <c r="A1068" s="1" t="s">
        <v>4946</v>
      </c>
      <c r="B1068" s="1" t="s">
        <v>13</v>
      </c>
      <c r="C1068" s="4" t="s">
        <v>4947</v>
      </c>
      <c r="D1068" s="1" t="s">
        <v>4948</v>
      </c>
      <c r="E1068" s="1" t="s">
        <v>4949</v>
      </c>
      <c r="F1068" s="4" t="s">
        <v>17</v>
      </c>
      <c r="G1068" s="1" t="s">
        <v>18</v>
      </c>
      <c r="H1068" s="1" t="s">
        <v>19</v>
      </c>
      <c r="I1068" s="1" t="s">
        <v>20</v>
      </c>
      <c r="J1068" s="1" t="s">
        <v>4950</v>
      </c>
      <c r="K1068" s="1" t="s">
        <v>22</v>
      </c>
      <c r="L1068" s="1" t="str">
        <f>HYPERLINK("https://files.afu.se/Downloads/Transcripts/0%20-%20Government/USA%20-%20NASA%20Kennedy/2014 04 10 - NASA's Kennedy Space Center - GSDO  Exploration Begins Here_TYMFiziNKOo - transcript (automated).pdf","Transcript Link")</f>
        <v>Transcript Link</v>
      </c>
      <c r="M1068" s="2" t="str">
        <f>HYPERLINK("https://files.afu.se/Downloads/Transcripts/0%20-%20Government/USA%20-%20NASA%20Kennedy/2014 04 10 - NASA's Kennedy Space Center - GSDO  Exploration Begins Here_TYMFiziNKOo - transcript (automated).pdf","Transcript Link")</f>
        <v>Transcript Link</v>
      </c>
    </row>
    <row r="1069" ht="180" spans="1:13">
      <c r="A1069" s="1" t="s">
        <v>4951</v>
      </c>
      <c r="B1069" s="1" t="s">
        <v>13</v>
      </c>
      <c r="C1069" s="4" t="s">
        <v>4952</v>
      </c>
      <c r="D1069" s="1" t="s">
        <v>4953</v>
      </c>
      <c r="E1069" s="1" t="s">
        <v>4954</v>
      </c>
      <c r="F1069" s="4" t="s">
        <v>17</v>
      </c>
      <c r="G1069" s="1" t="s">
        <v>18</v>
      </c>
      <c r="H1069" s="1" t="s">
        <v>19</v>
      </c>
      <c r="I1069" s="1" t="s">
        <v>20</v>
      </c>
      <c r="J1069" s="1" t="s">
        <v>4955</v>
      </c>
      <c r="K1069" s="1" t="s">
        <v>22</v>
      </c>
      <c r="L1069" s="1" t="str">
        <f>HYPERLINK("https://files.afu.se/Downloads/Transcripts/0%20-%20Government/USA%20-%20NASA%20Kennedy/2014 04 02 - NASA's Kennedy Space Center - Morpheus Completes 8th Free Flight_QMtUQLPcDK4 - transcript (automated).pdf","Transcript Link")</f>
        <v>Transcript Link</v>
      </c>
      <c r="M1069" s="2" t="str">
        <f>HYPERLINK("https://files.afu.se/Downloads/Transcripts/0%20-%20Government/USA%20-%20NASA%20Kennedy/2014 04 02 - NASA's Kennedy Space Center - Morpheus Completes 8th Free Flight_QMtUQLPcDK4 - transcript (automated).pdf","Transcript Link")</f>
        <v>Transcript Link</v>
      </c>
    </row>
    <row r="1070" ht="180" spans="1:13">
      <c r="A1070" s="1" t="s">
        <v>4956</v>
      </c>
      <c r="B1070" s="1" t="s">
        <v>13</v>
      </c>
      <c r="C1070" s="4" t="s">
        <v>4957</v>
      </c>
      <c r="D1070" s="1" t="s">
        <v>4958</v>
      </c>
      <c r="E1070" s="1" t="s">
        <v>4959</v>
      </c>
      <c r="F1070" s="4" t="s">
        <v>17</v>
      </c>
      <c r="G1070" s="1" t="s">
        <v>18</v>
      </c>
      <c r="H1070" s="1" t="s">
        <v>19</v>
      </c>
      <c r="I1070" s="1" t="s">
        <v>20</v>
      </c>
      <c r="J1070" s="1" t="s">
        <v>4960</v>
      </c>
      <c r="K1070" s="1" t="s">
        <v>22</v>
      </c>
      <c r="L1070" s="1" t="str">
        <f>HYPERLINK("https://files.afu.se/Downloads/Transcripts/0%20-%20Government/USA%20-%20NASA%20Kennedy/2014 04 01 - NASA's Kennedy Space Center - NASA Tests Satellite Refueling Technology_M_MTuY8a-lI - transcript (automated).pdf","Transcript Link")</f>
        <v>Transcript Link</v>
      </c>
      <c r="M1070" s="2" t="str">
        <f>HYPERLINK("https://files.afu.se/Downloads/Transcripts/0%20-%20Government/USA%20-%20NASA%20Kennedy/2014 04 01 - NASA's Kennedy Space Center - NASA Tests Satellite Refueling Technology_M_MTuY8a-lI - transcript (automated).pdf","Transcript Link")</f>
        <v>Transcript Link</v>
      </c>
    </row>
    <row r="1071" ht="210" spans="1:13">
      <c r="A1071" s="1" t="s">
        <v>4961</v>
      </c>
      <c r="B1071" s="1" t="s">
        <v>13</v>
      </c>
      <c r="C1071" s="4" t="s">
        <v>4962</v>
      </c>
      <c r="D1071" s="1" t="s">
        <v>4963</v>
      </c>
      <c r="E1071" s="1" t="s">
        <v>4964</v>
      </c>
      <c r="F1071" s="4" t="s">
        <v>17</v>
      </c>
      <c r="G1071" s="1" t="s">
        <v>18</v>
      </c>
      <c r="H1071" s="1" t="s">
        <v>19</v>
      </c>
      <c r="I1071" s="1" t="s">
        <v>20</v>
      </c>
      <c r="J1071" s="1" t="s">
        <v>4965</v>
      </c>
      <c r="K1071" s="1" t="s">
        <v>22</v>
      </c>
      <c r="L1071" s="1" t="str">
        <f>HYPERLINK("https://files.afu.se/Downloads/Transcripts/0%20-%20Government/USA%20-%20NASA%20Kennedy/2014 03 27 - NASA's Kennedy Space Center - Morpheus Completes Tethered Flight With Test of Hazard Avoidance System_Pi48DhfenFg - transcript (automated).pdf","Transcript Link")</f>
        <v>Transcript Link</v>
      </c>
      <c r="M1071" s="2" t="str">
        <f>HYPERLINK("https://files.afu.se/Downloads/Transcripts/0%20-%20Government/USA%20-%20NASA%20Kennedy/2014 03 27 - NASA's Kennedy Space Center - Morpheus Completes Tethered Flight With Test of Hazard Avoidance System_Pi48DhfenFg - transcript (automated).pdf","Transcript Link")</f>
        <v>Transcript Link</v>
      </c>
    </row>
    <row r="1072" ht="180" spans="1:13">
      <c r="A1072" s="1" t="s">
        <v>4961</v>
      </c>
      <c r="B1072" s="1" t="s">
        <v>13</v>
      </c>
      <c r="C1072" s="4" t="s">
        <v>4966</v>
      </c>
      <c r="D1072" s="1" t="s">
        <v>4967</v>
      </c>
      <c r="E1072" s="1" t="s">
        <v>4968</v>
      </c>
      <c r="F1072" s="4" t="s">
        <v>17</v>
      </c>
      <c r="G1072" s="1" t="s">
        <v>18</v>
      </c>
      <c r="H1072" s="1" t="s">
        <v>19</v>
      </c>
      <c r="I1072" s="1" t="s">
        <v>20</v>
      </c>
      <c r="J1072" s="1" t="s">
        <v>4969</v>
      </c>
      <c r="K1072" s="1" t="s">
        <v>22</v>
      </c>
      <c r="L1072" s="1" t="str">
        <f>HYPERLINK("https://files.afu.se/Downloads/Transcripts/0%20-%20Government/USA%20-%20NASA%20Kennedy/2014 03 27 - NASA's Kennedy Space Center - Robots Show Off Skills at Robot Rocket Rally_LlFNnNQ4vQI - transcript (automated).pdf","Transcript Link")</f>
        <v>Transcript Link</v>
      </c>
      <c r="M1072" s="2" t="str">
        <f>HYPERLINK("https://files.afu.se/Downloads/Transcripts/0%20-%20Government/USA%20-%20NASA%20Kennedy/2014 03 27 - NASA's Kennedy Space Center - Robots Show Off Skills at Robot Rocket Rally_LlFNnNQ4vQI - transcript (automated).pdf","Transcript Link")</f>
        <v>Transcript Link</v>
      </c>
    </row>
    <row r="1073" ht="195" spans="1:13">
      <c r="A1073" s="1" t="s">
        <v>4961</v>
      </c>
      <c r="B1073" s="1" t="s">
        <v>13</v>
      </c>
      <c r="C1073" s="4" t="s">
        <v>4970</v>
      </c>
      <c r="D1073" s="1" t="s">
        <v>4971</v>
      </c>
      <c r="E1073" s="1" t="s">
        <v>4972</v>
      </c>
      <c r="F1073" s="4" t="s">
        <v>17</v>
      </c>
      <c r="G1073" s="1" t="s">
        <v>18</v>
      </c>
      <c r="H1073" s="1" t="s">
        <v>19</v>
      </c>
      <c r="I1073" s="1" t="s">
        <v>20</v>
      </c>
      <c r="J1073" s="1" t="s">
        <v>4973</v>
      </c>
      <c r="K1073" s="1" t="s">
        <v>22</v>
      </c>
      <c r="L1073" s="1">
        <v>0</v>
      </c>
      <c r="M1073" s="2">
        <v>0</v>
      </c>
    </row>
    <row r="1074" ht="180" spans="1:13">
      <c r="A1074" s="1" t="s">
        <v>4974</v>
      </c>
      <c r="B1074" s="1" t="s">
        <v>13</v>
      </c>
      <c r="C1074" s="4" t="s">
        <v>4975</v>
      </c>
      <c r="D1074" s="1" t="s">
        <v>4976</v>
      </c>
      <c r="E1074" s="1" t="s">
        <v>4977</v>
      </c>
      <c r="F1074" s="4" t="s">
        <v>17</v>
      </c>
      <c r="G1074" s="1" t="s">
        <v>18</v>
      </c>
      <c r="H1074" s="1" t="s">
        <v>19</v>
      </c>
      <c r="I1074" s="1" t="s">
        <v>20</v>
      </c>
      <c r="J1074" s="1" t="s">
        <v>4978</v>
      </c>
      <c r="K1074" s="1" t="s">
        <v>22</v>
      </c>
      <c r="L1074" s="1" t="str">
        <f>HYPERLINK("https://files.afu.se/Downloads/Transcripts/0%20-%20Government/USA%20-%20NASA%20Kennedy/2014 03 11 - NASA's Kennedy Space Center - Morpheus Completes March 11 Free Flight_Iq1YAMMT5_g - transcript (automated).pdf","Transcript Link")</f>
        <v>Transcript Link</v>
      </c>
      <c r="M1074" s="2" t="str">
        <f>HYPERLINK("https://files.afu.se/Downloads/Transcripts/0%20-%20Government/USA%20-%20NASA%20Kennedy/2014 03 11 - NASA's Kennedy Space Center - Morpheus Completes March 11 Free Flight_Iq1YAMMT5_g - transcript (automated).pdf","Transcript Link")</f>
        <v>Transcript Link</v>
      </c>
    </row>
    <row r="1075" ht="180" spans="1:13">
      <c r="A1075" s="1" t="s">
        <v>4979</v>
      </c>
      <c r="B1075" s="1" t="s">
        <v>13</v>
      </c>
      <c r="C1075" s="4" t="s">
        <v>4980</v>
      </c>
      <c r="D1075" s="1" t="s">
        <v>4981</v>
      </c>
      <c r="E1075" s="1" t="s">
        <v>4982</v>
      </c>
      <c r="F1075" s="4" t="s">
        <v>17</v>
      </c>
      <c r="G1075" s="1" t="s">
        <v>18</v>
      </c>
      <c r="H1075" s="1" t="s">
        <v>19</v>
      </c>
      <c r="I1075" s="1" t="s">
        <v>20</v>
      </c>
      <c r="J1075" s="1" t="s">
        <v>4983</v>
      </c>
      <c r="K1075" s="1" t="s">
        <v>22</v>
      </c>
      <c r="L1075" s="1" t="str">
        <f>HYPERLINK("https://files.afu.se/Downloads/Transcripts/0%20-%20Government/USA%20-%20NASA%20Kennedy/2014 03 06 - NASA's Kennedy Space Center - Model Arrives for Wind Tunnel Testing By Boeing_I27EeRRkjPk - transcript (automated).pdf","Transcript Link")</f>
        <v>Transcript Link</v>
      </c>
      <c r="M1075" s="2" t="str">
        <f>HYPERLINK("https://files.afu.se/Downloads/Transcripts/0%20-%20Government/USA%20-%20NASA%20Kennedy/2014 03 06 - NASA's Kennedy Space Center - Model Arrives for Wind Tunnel Testing By Boeing_I27EeRRkjPk - transcript (automated).pdf","Transcript Link")</f>
        <v>Transcript Link</v>
      </c>
    </row>
    <row r="1076" ht="180" spans="1:13">
      <c r="A1076" s="1" t="s">
        <v>4984</v>
      </c>
      <c r="B1076" s="1" t="s">
        <v>13</v>
      </c>
      <c r="C1076" s="4" t="s">
        <v>4985</v>
      </c>
      <c r="D1076" s="1" t="s">
        <v>4986</v>
      </c>
      <c r="E1076" s="1" t="s">
        <v>4987</v>
      </c>
      <c r="F1076" s="4" t="s">
        <v>17</v>
      </c>
      <c r="G1076" s="1" t="s">
        <v>18</v>
      </c>
      <c r="H1076" s="1" t="s">
        <v>19</v>
      </c>
      <c r="I1076" s="1" t="s">
        <v>20</v>
      </c>
      <c r="J1076" s="1" t="s">
        <v>4988</v>
      </c>
      <c r="K1076" s="1" t="s">
        <v>22</v>
      </c>
      <c r="L1076" s="1" t="str">
        <f>HYPERLINK("https://files.afu.se/Downloads/Transcripts/0%20-%20Government/USA%20-%20NASA%20Kennedy/2014 03 05 - NASA's Kennedy Space Center - Morpheus Completes Sixth Free Flight Test_1zuOCvuA27Y - transcript (automated).pdf","Transcript Link")</f>
        <v>Transcript Link</v>
      </c>
      <c r="M1076" s="2" t="str">
        <f>HYPERLINK("https://files.afu.se/Downloads/Transcripts/0%20-%20Government/USA%20-%20NASA%20Kennedy/2014 03 05 - NASA's Kennedy Space Center - Morpheus Completes Sixth Free Flight Test_1zuOCvuA27Y - transcript (automated).pdf","Transcript Link")</f>
        <v>Transcript Link</v>
      </c>
    </row>
    <row r="1077" ht="180" spans="1:13">
      <c r="A1077" s="1" t="s">
        <v>4989</v>
      </c>
      <c r="B1077" s="1" t="s">
        <v>13</v>
      </c>
      <c r="C1077" s="4" t="s">
        <v>4990</v>
      </c>
      <c r="D1077" s="1" t="s">
        <v>4991</v>
      </c>
      <c r="E1077" s="1" t="s">
        <v>4992</v>
      </c>
      <c r="F1077" s="4" t="s">
        <v>17</v>
      </c>
      <c r="G1077" s="1" t="s">
        <v>18</v>
      </c>
      <c r="H1077" s="1" t="s">
        <v>19</v>
      </c>
      <c r="I1077" s="1" t="s">
        <v>20</v>
      </c>
      <c r="J1077" s="1" t="s">
        <v>4993</v>
      </c>
      <c r="K1077" s="1" t="s">
        <v>22</v>
      </c>
      <c r="L1077" s="1" t="str">
        <f>HYPERLINK("https://files.afu.se/Downloads/Transcripts/0%20-%20Government/USA%20-%20NASA%20Kennedy/2014 03 04 - NASA's Kennedy Space Center - Jaws of Life Training at Kennedy Space Center_tFTE8qDbXfs - transcript (automated).pdf","Transcript Link")</f>
        <v>Transcript Link</v>
      </c>
      <c r="M1077" s="2" t="str">
        <f>HYPERLINK("https://files.afu.se/Downloads/Transcripts/0%20-%20Government/USA%20-%20NASA%20Kennedy/2014 03 04 - NASA's Kennedy Space Center - Jaws of Life Training at Kennedy Space Center_tFTE8qDbXfs - transcript (automated).pdf","Transcript Link")</f>
        <v>Transcript Link</v>
      </c>
    </row>
    <row r="1078" ht="180" spans="1:13">
      <c r="A1078" s="1" t="s">
        <v>4994</v>
      </c>
      <c r="B1078" s="1" t="s">
        <v>13</v>
      </c>
      <c r="C1078" s="4" t="s">
        <v>4995</v>
      </c>
      <c r="D1078" s="1" t="s">
        <v>4996</v>
      </c>
      <c r="E1078" s="1" t="s">
        <v>4997</v>
      </c>
      <c r="F1078" s="4" t="s">
        <v>17</v>
      </c>
      <c r="G1078" s="1" t="s">
        <v>18</v>
      </c>
      <c r="H1078" s="1" t="s">
        <v>19</v>
      </c>
      <c r="I1078" s="1" t="s">
        <v>20</v>
      </c>
      <c r="J1078" s="1" t="s">
        <v>4998</v>
      </c>
      <c r="K1078" s="1" t="s">
        <v>22</v>
      </c>
      <c r="L1078" s="1" t="str">
        <f>HYPERLINK("https://files.afu.se/Downloads/Transcripts/0%20-%20Government/USA%20-%20NASA%20Kennedy/2014 02 28 - NASA's Kennedy Space Center - Boeing Completes Pilot-in-the-Loop Milestone_odh08oKhpjk - transcript (automated).pdf","Transcript Link")</f>
        <v>Transcript Link</v>
      </c>
      <c r="M1078" s="2" t="str">
        <f>HYPERLINK("https://files.afu.se/Downloads/Transcripts/0%20-%20Government/USA%20-%20NASA%20Kennedy/2014 02 28 - NASA's Kennedy Space Center - Boeing Completes Pilot-in-the-Loop Milestone_odh08oKhpjk - transcript (automated).pdf","Transcript Link")</f>
        <v>Transcript Link</v>
      </c>
    </row>
    <row r="1079" ht="180" spans="1:13">
      <c r="A1079" s="1" t="s">
        <v>4999</v>
      </c>
      <c r="B1079" s="1" t="s">
        <v>13</v>
      </c>
      <c r="C1079" s="4" t="s">
        <v>5000</v>
      </c>
      <c r="D1079" s="1" t="s">
        <v>5001</v>
      </c>
      <c r="E1079" s="1" t="s">
        <v>5002</v>
      </c>
      <c r="F1079" s="4" t="s">
        <v>17</v>
      </c>
      <c r="G1079" s="1" t="s">
        <v>18</v>
      </c>
      <c r="H1079" s="1" t="s">
        <v>19</v>
      </c>
      <c r="I1079" s="1" t="s">
        <v>20</v>
      </c>
      <c r="J1079" s="1" t="s">
        <v>5003</v>
      </c>
      <c r="K1079" s="1" t="s">
        <v>22</v>
      </c>
      <c r="L1079" s="1" t="str">
        <f>HYPERLINK("https://files.afu.se/Downloads/Transcripts/0%20-%20Government/USA%20-%20NASA%20Kennedy/2014 02 19 - NASA's Kennedy Space Center - Telemetry Solution Preserves TDRS-L Launch_qud4SIDRv-8 - transcript (automated).pdf","Transcript Link")</f>
        <v>Transcript Link</v>
      </c>
      <c r="M1079" s="2" t="str">
        <f>HYPERLINK("https://files.afu.se/Downloads/Transcripts/0%20-%20Government/USA%20-%20NASA%20Kennedy/2014 02 19 - NASA's Kennedy Space Center - Telemetry Solution Preserves TDRS-L Launch_qud4SIDRv-8 - transcript (automated).pdf","Transcript Link")</f>
        <v>Transcript Link</v>
      </c>
    </row>
    <row r="1080" ht="225" spans="1:13">
      <c r="A1080" s="1" t="s">
        <v>5004</v>
      </c>
      <c r="B1080" s="1" t="s">
        <v>13</v>
      </c>
      <c r="C1080" s="4" t="s">
        <v>5005</v>
      </c>
      <c r="D1080" s="1" t="s">
        <v>5006</v>
      </c>
      <c r="E1080" s="1" t="s">
        <v>5007</v>
      </c>
      <c r="F1080" s="4" t="s">
        <v>17</v>
      </c>
      <c r="G1080" s="1" t="s">
        <v>18</v>
      </c>
      <c r="H1080" s="1" t="s">
        <v>19</v>
      </c>
      <c r="I1080" s="1" t="s">
        <v>20</v>
      </c>
      <c r="J1080" s="1" t="s">
        <v>5008</v>
      </c>
      <c r="K1080" s="1" t="s">
        <v>22</v>
      </c>
      <c r="L1080" s="1" t="str">
        <f>HYPERLINK("https://files.afu.se/Downloads/Transcripts/0%20-%20Government/USA%20-%20NASA%20Kennedy/2014 02 10 - NASA's Kennedy Space Center - Morpheus Completes Fifth Free-Flight_Abx1uTNiloo - transcript (automated).pdf","Transcript Link")</f>
        <v>Transcript Link</v>
      </c>
      <c r="M1080" s="2" t="str">
        <f>HYPERLINK("https://files.afu.se/Downloads/Transcripts/0%20-%20Government/USA%20-%20NASA%20Kennedy/2014 02 10 - NASA's Kennedy Space Center - Morpheus Completes Fifth Free-Flight_Abx1uTNiloo - transcript (automated).pdf","Transcript Link")</f>
        <v>Transcript Link</v>
      </c>
    </row>
    <row r="1081" ht="180" spans="1:13">
      <c r="A1081" s="1" t="s">
        <v>5004</v>
      </c>
      <c r="B1081" s="1" t="s">
        <v>13</v>
      </c>
      <c r="C1081" s="4" t="s">
        <v>5009</v>
      </c>
      <c r="D1081" s="1" t="s">
        <v>5010</v>
      </c>
      <c r="E1081" s="1" t="s">
        <v>5011</v>
      </c>
      <c r="F1081" s="4" t="s">
        <v>17</v>
      </c>
      <c r="G1081" s="1" t="s">
        <v>18</v>
      </c>
      <c r="H1081" s="1" t="s">
        <v>19</v>
      </c>
      <c r="I1081" s="1" t="s">
        <v>20</v>
      </c>
      <c r="J1081" s="1" t="s">
        <v>5012</v>
      </c>
      <c r="K1081" s="1" t="s">
        <v>22</v>
      </c>
      <c r="L1081" s="1" t="str">
        <f>HYPERLINK("https://files.afu.se/Downloads/Transcripts/0%20-%20Government/USA%20-%20NASA%20Kennedy/2014 02 10 - NASA's Kennedy Space Center - Kennedy NOW! January 2014_B-1cEoOvbnk - transcript (automated).pdf","Transcript Link")</f>
        <v>Transcript Link</v>
      </c>
      <c r="M1081" s="2" t="str">
        <f>HYPERLINK("https://files.afu.se/Downloads/Transcripts/0%20-%20Government/USA%20-%20NASA%20Kennedy/2014 02 10 - NASA's Kennedy Space Center - Kennedy NOW! January 2014_B-1cEoOvbnk - transcript (automated).pdf","Transcript Link")</f>
        <v>Transcript Link</v>
      </c>
    </row>
    <row r="1082" ht="180" spans="1:13">
      <c r="A1082" s="1" t="s">
        <v>5013</v>
      </c>
      <c r="B1082" s="1" t="s">
        <v>13</v>
      </c>
      <c r="C1082" s="4" t="s">
        <v>5014</v>
      </c>
      <c r="D1082" s="1" t="s">
        <v>5015</v>
      </c>
      <c r="E1082" s="1" t="s">
        <v>5016</v>
      </c>
      <c r="F1082" s="4" t="s">
        <v>17</v>
      </c>
      <c r="G1082" s="1" t="s">
        <v>18</v>
      </c>
      <c r="H1082" s="1" t="s">
        <v>19</v>
      </c>
      <c r="I1082" s="1" t="s">
        <v>20</v>
      </c>
      <c r="J1082" s="1" t="s">
        <v>5017</v>
      </c>
      <c r="K1082" s="1" t="s">
        <v>22</v>
      </c>
      <c r="L1082" s="1" t="str">
        <f>HYPERLINK("https://files.afu.se/Downloads/Transcripts/0%20-%20Government/USA%20-%20NASA%20Kennedy/2014 01 24 - NASA's Kennedy Space Center - NASA Launch Director Comments on TDRS-L Liftoff_MiJJRK4DSEw - transcript (automated).pdf","Transcript Link")</f>
        <v>Transcript Link</v>
      </c>
      <c r="M1082" s="2" t="str">
        <f>HYPERLINK("https://files.afu.se/Downloads/Transcripts/0%20-%20Government/USA%20-%20NASA%20Kennedy/2014 01 24 - NASA's Kennedy Space Center - NASA Launch Director Comments on TDRS-L Liftoff_MiJJRK4DSEw - transcript (automated).pdf","Transcript Link")</f>
        <v>Transcript Link</v>
      </c>
    </row>
    <row r="1083" ht="180" spans="1:13">
      <c r="A1083" s="1" t="s">
        <v>5013</v>
      </c>
      <c r="B1083" s="1" t="s">
        <v>13</v>
      </c>
      <c r="C1083" s="4" t="s">
        <v>5018</v>
      </c>
      <c r="D1083" s="1" t="s">
        <v>5019</v>
      </c>
      <c r="E1083" s="1" t="s">
        <v>5020</v>
      </c>
      <c r="F1083" s="4" t="s">
        <v>17</v>
      </c>
      <c r="G1083" s="1" t="s">
        <v>18</v>
      </c>
      <c r="H1083" s="1" t="s">
        <v>19</v>
      </c>
      <c r="I1083" s="1" t="s">
        <v>20</v>
      </c>
      <c r="J1083" s="1" t="s">
        <v>5021</v>
      </c>
      <c r="K1083" s="1" t="s">
        <v>22</v>
      </c>
      <c r="L1083" s="1" t="str">
        <f>HYPERLINK("https://files.afu.se/Downloads/Transcripts/0%20-%20Government/USA%20-%20NASA%20Kennedy/2014 01 24 - NASA's Kennedy Space Center - TDRS-L Spacecraft Separation_t0OhynA7JrQ - transcript (automated).pdf","Transcript Link")</f>
        <v>Transcript Link</v>
      </c>
      <c r="M1083" s="2" t="str">
        <f>HYPERLINK("https://files.afu.se/Downloads/Transcripts/0%20-%20Government/USA%20-%20NASA%20Kennedy/2014 01 24 - NASA's Kennedy Space Center - TDRS-L Spacecraft Separation_t0OhynA7JrQ - transcript (automated).pdf","Transcript Link")</f>
        <v>Transcript Link</v>
      </c>
    </row>
    <row r="1084" ht="180" spans="1:13">
      <c r="A1084" s="1" t="s">
        <v>5013</v>
      </c>
      <c r="B1084" s="1" t="s">
        <v>13</v>
      </c>
      <c r="C1084" s="4" t="s">
        <v>5022</v>
      </c>
      <c r="D1084" s="1" t="s">
        <v>5023</v>
      </c>
      <c r="E1084" s="1" t="s">
        <v>5024</v>
      </c>
      <c r="F1084" s="4" t="s">
        <v>17</v>
      </c>
      <c r="G1084" s="1" t="s">
        <v>18</v>
      </c>
      <c r="H1084" s="1" t="s">
        <v>19</v>
      </c>
      <c r="I1084" s="1" t="s">
        <v>20</v>
      </c>
      <c r="J1084" s="1" t="s">
        <v>5025</v>
      </c>
      <c r="K1084" s="1" t="s">
        <v>22</v>
      </c>
      <c r="L1084" s="1" t="str">
        <f>HYPERLINK("https://files.afu.se/Downloads/Transcripts/0%20-%20Government/USA%20-%20NASA%20Kennedy/2014 01 24 - NASA's Kennedy Space Center - TDRS-L Ready for Launch_QLn5LjS9cew - transcript (automated).pdf","Transcript Link")</f>
        <v>Transcript Link</v>
      </c>
      <c r="M1084" s="2" t="str">
        <f>HYPERLINK("https://files.afu.se/Downloads/Transcripts/0%20-%20Government/USA%20-%20NASA%20Kennedy/2014 01 24 - NASA's Kennedy Space Center - TDRS-L Ready for Launch_QLn5LjS9cew - transcript (automated).pdf","Transcript Link")</f>
        <v>Transcript Link</v>
      </c>
    </row>
    <row r="1085" ht="180" spans="1:13">
      <c r="A1085" s="1" t="s">
        <v>5013</v>
      </c>
      <c r="B1085" s="1" t="s">
        <v>13</v>
      </c>
      <c r="C1085" s="4" t="s">
        <v>5026</v>
      </c>
      <c r="D1085" s="1" t="s">
        <v>5027</v>
      </c>
      <c r="E1085" s="1" t="s">
        <v>5028</v>
      </c>
      <c r="F1085" s="4" t="s">
        <v>17</v>
      </c>
      <c r="G1085" s="1" t="s">
        <v>18</v>
      </c>
      <c r="H1085" s="1" t="s">
        <v>19</v>
      </c>
      <c r="I1085" s="1" t="s">
        <v>20</v>
      </c>
      <c r="J1085" s="1" t="s">
        <v>5029</v>
      </c>
      <c r="K1085" s="1" t="s">
        <v>22</v>
      </c>
      <c r="L1085" s="1" t="str">
        <f>HYPERLINK("https://files.afu.se/Downloads/Transcripts/0%20-%20Government/USA%20-%20NASA%20Kennedy/2014 01 24 - NASA's Kennedy Space Center - Liftoff of TDRS-L_7GpM_sGTfyA - transcript (automated).pdf","Transcript Link")</f>
        <v>Transcript Link</v>
      </c>
      <c r="M1085" s="2" t="str">
        <f>HYPERLINK("https://files.afu.se/Downloads/Transcripts/0%20-%20Government/USA%20-%20NASA%20Kennedy/2014 01 24 - NASA's Kennedy Space Center - Liftoff of TDRS-L_7GpM_sGTfyA - transcript (automated).pdf","Transcript Link")</f>
        <v>Transcript Link</v>
      </c>
    </row>
    <row r="1086" ht="180" spans="1:13">
      <c r="A1086" s="1" t="s">
        <v>5030</v>
      </c>
      <c r="B1086" s="1" t="s">
        <v>13</v>
      </c>
      <c r="C1086" s="4" t="s">
        <v>5031</v>
      </c>
      <c r="D1086" s="1" t="s">
        <v>5032</v>
      </c>
      <c r="E1086" s="1" t="s">
        <v>5033</v>
      </c>
      <c r="F1086" s="4" t="s">
        <v>17</v>
      </c>
      <c r="G1086" s="1" t="s">
        <v>18</v>
      </c>
      <c r="H1086" s="1" t="s">
        <v>19</v>
      </c>
      <c r="I1086" s="1" t="s">
        <v>20</v>
      </c>
      <c r="J1086" s="1" t="s">
        <v>5034</v>
      </c>
      <c r="K1086" s="1" t="s">
        <v>22</v>
      </c>
      <c r="L1086" s="1" t="str">
        <f>HYPERLINK("https://files.afu.se/Downloads/Transcripts/0%20-%20Government/USA%20-%20NASA%20Kennedy/2014 01 23 - NASA's Kennedy Space Center - TDRS-L Countdown Underway_09oB0mRKTFk - transcript (automated).pdf","Transcript Link")</f>
        <v>Transcript Link</v>
      </c>
      <c r="M1086" s="2" t="str">
        <f>HYPERLINK("https://files.afu.se/Downloads/Transcripts/0%20-%20Government/USA%20-%20NASA%20Kennedy/2014 01 23 - NASA's Kennedy Space Center - TDRS-L Countdown Underway_09oB0mRKTFk - transcript (automated).pdf","Transcript Link")</f>
        <v>Transcript Link</v>
      </c>
    </row>
    <row r="1087" ht="180" spans="1:13">
      <c r="A1087" s="1" t="s">
        <v>5035</v>
      </c>
      <c r="B1087" s="1" t="s">
        <v>13</v>
      </c>
      <c r="C1087" s="4" t="s">
        <v>5036</v>
      </c>
      <c r="D1087" s="1" t="s">
        <v>5037</v>
      </c>
      <c r="E1087" s="1" t="s">
        <v>5038</v>
      </c>
      <c r="F1087" s="4" t="s">
        <v>17</v>
      </c>
      <c r="G1087" s="1" t="s">
        <v>18</v>
      </c>
      <c r="H1087" s="1" t="s">
        <v>19</v>
      </c>
      <c r="I1087" s="1" t="s">
        <v>20</v>
      </c>
      <c r="J1087" s="1" t="s">
        <v>5039</v>
      </c>
      <c r="K1087" s="1" t="s">
        <v>22</v>
      </c>
      <c r="L1087" s="1" t="str">
        <f>HYPERLINK("https://files.afu.se/Downloads/Transcripts/0%20-%20Government/USA%20-%20NASA%20Kennedy/2014 01 22 - NASA's Kennedy Space Center - TDRS-L Rolls to the Launch Pad_4Mm2BFBw1cY - transcript (automated).pdf","Transcript Link")</f>
        <v>Transcript Link</v>
      </c>
      <c r="M1087" s="2" t="str">
        <f>HYPERLINK("https://files.afu.se/Downloads/Transcripts/0%20-%20Government/USA%20-%20NASA%20Kennedy/2014 01 22 - NASA's Kennedy Space Center - TDRS-L Rolls to the Launch Pad_4Mm2BFBw1cY - transcript (automated).pdf","Transcript Link")</f>
        <v>Transcript Link</v>
      </c>
    </row>
    <row r="1088" ht="225" spans="1:13">
      <c r="A1088" s="1" t="s">
        <v>5040</v>
      </c>
      <c r="B1088" s="1" t="s">
        <v>13</v>
      </c>
      <c r="C1088" s="4" t="s">
        <v>5041</v>
      </c>
      <c r="D1088" s="1" t="s">
        <v>5042</v>
      </c>
      <c r="E1088" s="1" t="s">
        <v>5043</v>
      </c>
      <c r="F1088" s="4" t="s">
        <v>17</v>
      </c>
      <c r="G1088" s="1" t="s">
        <v>18</v>
      </c>
      <c r="H1088" s="1" t="s">
        <v>19</v>
      </c>
      <c r="I1088" s="1" t="s">
        <v>20</v>
      </c>
      <c r="J1088" s="1" t="s">
        <v>5044</v>
      </c>
      <c r="K1088" s="1" t="s">
        <v>22</v>
      </c>
      <c r="L1088" s="1" t="str">
        <f>HYPERLINK("https://files.afu.se/Downloads/Transcripts/0%20-%20Government/USA%20-%20NASA%20Kennedy/2014 01 21 - NASA's Kennedy Space Center - Morpheus Completes 64-second Free Flight_jCJPiQlgz9Q - transcript (automated).pdf","Transcript Link")</f>
        <v>Transcript Link</v>
      </c>
      <c r="M1088" s="2" t="str">
        <f>HYPERLINK("https://files.afu.se/Downloads/Transcripts/0%20-%20Government/USA%20-%20NASA%20Kennedy/2014 01 21 - NASA's Kennedy Space Center - Morpheus Completes 64-second Free Flight_jCJPiQlgz9Q - transcript (automated).pdf","Transcript Link")</f>
        <v>Transcript Link</v>
      </c>
    </row>
    <row r="1089" ht="180" spans="1:13">
      <c r="A1089" s="1" t="s">
        <v>5040</v>
      </c>
      <c r="B1089" s="1" t="s">
        <v>13</v>
      </c>
      <c r="C1089" s="4" t="s">
        <v>5045</v>
      </c>
      <c r="D1089" s="1" t="s">
        <v>5046</v>
      </c>
      <c r="E1089" s="1" t="s">
        <v>5047</v>
      </c>
      <c r="F1089" s="4" t="s">
        <v>17</v>
      </c>
      <c r="G1089" s="1" t="s">
        <v>18</v>
      </c>
      <c r="H1089" s="1" t="s">
        <v>19</v>
      </c>
      <c r="I1089" s="1" t="s">
        <v>20</v>
      </c>
      <c r="J1089" s="1" t="s">
        <v>5048</v>
      </c>
      <c r="K1089" s="1" t="s">
        <v>22</v>
      </c>
      <c r="L1089" s="1" t="str">
        <f>HYPERLINK("https://files.afu.se/Downloads/Transcripts/0%20-%20Government/USA%20-%20NASA%20Kennedy/2014 01 21 - NASA's Kennedy Space Center - TDRS-L Prepares to Take Its Place in NASA Constellation_jbo_-Ljwvlk - transcript (automated).pdf","Transcript Link")</f>
        <v>Transcript Link</v>
      </c>
      <c r="M1089" s="2" t="str">
        <f>HYPERLINK("https://files.afu.se/Downloads/Transcripts/0%20-%20Government/USA%20-%20NASA%20Kennedy/2014 01 21 - NASA's Kennedy Space Center - TDRS-L Prepares to Take Its Place in NASA Constellation_jbo_-Ljwvlk - transcript (automated).pdf","Transcript Link")</f>
        <v>Transcript Link</v>
      </c>
    </row>
    <row r="1090" ht="180" spans="1:13">
      <c r="A1090" s="1" t="s">
        <v>5040</v>
      </c>
      <c r="B1090" s="1" t="s">
        <v>13</v>
      </c>
      <c r="C1090" s="4" t="s">
        <v>5049</v>
      </c>
      <c r="D1090" s="1" t="s">
        <v>5050</v>
      </c>
      <c r="E1090" s="1" t="s">
        <v>5051</v>
      </c>
      <c r="F1090" s="4" t="s">
        <v>17</v>
      </c>
      <c r="G1090" s="1" t="s">
        <v>18</v>
      </c>
      <c r="H1090" s="1" t="s">
        <v>19</v>
      </c>
      <c r="I1090" s="1" t="s">
        <v>20</v>
      </c>
      <c r="J1090" s="1" t="s">
        <v>5052</v>
      </c>
      <c r="K1090" s="1" t="s">
        <v>22</v>
      </c>
      <c r="L1090" s="1" t="str">
        <f>HYPERLINK("https://files.afu.se/Downloads/Transcripts/0%20-%20Government/USA%20-%20NASA%20Kennedy/2014 01 21 - NASA's Kennedy Space Center - TDRS-L and Atlas V Readied for Liftoff_KXpwVgCBaKA - transcript (automated).pdf","Transcript Link")</f>
        <v>Transcript Link</v>
      </c>
      <c r="M1090" s="2" t="str">
        <f>HYPERLINK("https://files.afu.se/Downloads/Transcripts/0%20-%20Government/USA%20-%20NASA%20Kennedy/2014 01 21 - NASA's Kennedy Space Center - TDRS-L and Atlas V Readied for Liftoff_KXpwVgCBaKA - transcript (automated).pdf","Transcript Link")</f>
        <v>Transcript Link</v>
      </c>
    </row>
    <row r="1091" ht="180" spans="1:13">
      <c r="A1091" s="1" t="s">
        <v>5053</v>
      </c>
      <c r="B1091" s="1" t="s">
        <v>13</v>
      </c>
      <c r="C1091" s="4" t="s">
        <v>5054</v>
      </c>
      <c r="D1091" s="1" t="s">
        <v>5055</v>
      </c>
      <c r="E1091" s="1" t="s">
        <v>5056</v>
      </c>
      <c r="F1091" s="4" t="s">
        <v>17</v>
      </c>
      <c r="G1091" s="1" t="s">
        <v>18</v>
      </c>
      <c r="H1091" s="1" t="s">
        <v>19</v>
      </c>
      <c r="I1091" s="1" t="s">
        <v>20</v>
      </c>
      <c r="J1091" s="1" t="s">
        <v>5057</v>
      </c>
      <c r="K1091" s="1" t="s">
        <v>22</v>
      </c>
      <c r="L1091" s="1" t="str">
        <f>HYPERLINK("https://files.afu.se/Downloads/Transcripts/0%20-%20Government/USA%20-%20NASA%20Kennedy/2014 01 17 - NASA's Kennedy Space Center - SpaceX Conducts Dragon Parachute Test_Z6Kp6MMl0HQ - transcript (automated).pdf","Transcript Link")</f>
        <v>Transcript Link</v>
      </c>
      <c r="M1091" s="2" t="str">
        <f>HYPERLINK("https://files.afu.se/Downloads/Transcripts/0%20-%20Government/USA%20-%20NASA%20Kennedy/2014 01 17 - NASA's Kennedy Space Center - SpaceX Conducts Dragon Parachute Test_Z6Kp6MMl0HQ - transcript (automated).pdf","Transcript Link")</f>
        <v>Transcript Link</v>
      </c>
    </row>
    <row r="1092" ht="255" spans="1:13">
      <c r="A1092" s="1" t="s">
        <v>5058</v>
      </c>
      <c r="B1092" s="1" t="s">
        <v>13</v>
      </c>
      <c r="C1092" s="4" t="s">
        <v>5059</v>
      </c>
      <c r="D1092" s="1" t="s">
        <v>5060</v>
      </c>
      <c r="E1092" s="1" t="s">
        <v>5061</v>
      </c>
      <c r="F1092" s="4" t="s">
        <v>17</v>
      </c>
      <c r="G1092" s="1" t="s">
        <v>18</v>
      </c>
      <c r="H1092" s="1" t="s">
        <v>19</v>
      </c>
      <c r="I1092" s="1" t="s">
        <v>20</v>
      </c>
      <c r="J1092" s="1" t="s">
        <v>5062</v>
      </c>
      <c r="K1092" s="1" t="s">
        <v>22</v>
      </c>
      <c r="L1092" s="1" t="str">
        <f>HYPERLINK("https://files.afu.se/Downloads/Transcripts/0%20-%20Government/USA%20-%20NASA%20Kennedy/2014 01 16 - NASA's Kennedy Space Center - Morpheus Third Free Flight Test at Kennedy Space Center_WZZeMOYk1ac - transcript (automated).pdf","Transcript Link")</f>
        <v>Transcript Link</v>
      </c>
      <c r="M1092" s="2" t="str">
        <f>HYPERLINK("https://files.afu.se/Downloads/Transcripts/0%20-%20Government/USA%20-%20NASA%20Kennedy/2014 01 16 - NASA's Kennedy Space Center - Morpheus Third Free Flight Test at Kennedy Space Center_WZZeMOYk1ac - transcript (automated).pdf","Transcript Link")</f>
        <v>Transcript Link</v>
      </c>
    </row>
    <row r="1093" ht="180" spans="1:13">
      <c r="A1093" s="1" t="s">
        <v>5063</v>
      </c>
      <c r="B1093" s="1" t="s">
        <v>13</v>
      </c>
      <c r="C1093" s="4" t="s">
        <v>5064</v>
      </c>
      <c r="D1093" s="1" t="s">
        <v>5065</v>
      </c>
      <c r="E1093" s="1" t="s">
        <v>5066</v>
      </c>
      <c r="F1093" s="4" t="s">
        <v>17</v>
      </c>
      <c r="G1093" s="1" t="s">
        <v>18</v>
      </c>
      <c r="H1093" s="1" t="s">
        <v>19</v>
      </c>
      <c r="I1093" s="1" t="s">
        <v>20</v>
      </c>
      <c r="J1093" s="1" t="s">
        <v>5067</v>
      </c>
      <c r="K1093" s="1" t="s">
        <v>22</v>
      </c>
      <c r="L1093" s="1" t="str">
        <f>HYPERLINK("https://files.afu.se/Downloads/Transcripts/0%20-%20Government/USA%20-%20NASA%20Kennedy/2014 01 14 - NASA's Kennedy Space Center - Partners Mature Spacecraft Designs_dMrlv-YAjTs - transcript (automated).pdf","Transcript Link")</f>
        <v>Transcript Link</v>
      </c>
      <c r="M1093" s="2" t="str">
        <f>HYPERLINK("https://files.afu.se/Downloads/Transcripts/0%20-%20Government/USA%20-%20NASA%20Kennedy/2014 01 14 - NASA's Kennedy Space Center - Partners Mature Spacecraft Designs_dMrlv-YAjTs - transcript (automated).pdf","Transcript Link")</f>
        <v>Transcript Link</v>
      </c>
    </row>
    <row r="1094" ht="180" spans="1:13">
      <c r="A1094" s="1" t="s">
        <v>5068</v>
      </c>
      <c r="B1094" s="1" t="s">
        <v>13</v>
      </c>
      <c r="C1094" s="4" t="s">
        <v>5069</v>
      </c>
      <c r="D1094" s="1" t="s">
        <v>5070</v>
      </c>
      <c r="E1094" s="1" t="s">
        <v>5071</v>
      </c>
      <c r="F1094" s="4" t="s">
        <v>17</v>
      </c>
      <c r="G1094" s="1" t="s">
        <v>18</v>
      </c>
      <c r="H1094" s="1" t="s">
        <v>19</v>
      </c>
      <c r="I1094" s="1" t="s">
        <v>20</v>
      </c>
      <c r="J1094" s="1" t="s">
        <v>5072</v>
      </c>
      <c r="K1094" s="1" t="s">
        <v>22</v>
      </c>
      <c r="L1094" s="1" t="str">
        <f>HYPERLINK("https://files.afu.se/Downloads/Transcripts/0%20-%20Government/USA%20-%20NASA%20Kennedy/2013 12 20 - NASA's Kennedy Space Center - MIST Experiment Soars on  Cloud Lab _l8IIGIY5Ps8 - transcript (automated).pdf","Transcript Link")</f>
        <v>Transcript Link</v>
      </c>
      <c r="M1094" s="2" t="str">
        <f>HYPERLINK("https://files.afu.se/Downloads/Transcripts/0%20-%20Government/USA%20-%20NASA%20Kennedy/2013 12 20 - NASA's Kennedy Space Center - MIST Experiment Soars on  Cloud Lab _l8IIGIY5Ps8 - transcript (automated).pdf","Transcript Link")</f>
        <v>Transcript Link</v>
      </c>
    </row>
    <row r="1095" ht="180" spans="1:13">
      <c r="A1095" s="1" t="s">
        <v>5073</v>
      </c>
      <c r="B1095" s="1" t="s">
        <v>13</v>
      </c>
      <c r="C1095" s="4" t="s">
        <v>5074</v>
      </c>
      <c r="D1095" s="1" t="s">
        <v>5075</v>
      </c>
      <c r="E1095" s="1" t="s">
        <v>5076</v>
      </c>
      <c r="F1095" s="4" t="s">
        <v>17</v>
      </c>
      <c r="G1095" s="1" t="s">
        <v>18</v>
      </c>
      <c r="H1095" s="1" t="s">
        <v>19</v>
      </c>
      <c r="I1095" s="1" t="s">
        <v>20</v>
      </c>
      <c r="J1095" s="1" t="s">
        <v>5077</v>
      </c>
      <c r="K1095" s="1" t="s">
        <v>22</v>
      </c>
      <c r="L1095" s="1" t="str">
        <f>HYPERLINK("https://files.afu.se/Downloads/Transcripts/0%20-%20Government/USA%20-%20NASA%20Kennedy/2013 12 19 - NASA's Kennedy Space Center - SMASH Alloys to Improve Aerospace Safety Margins_VBgGpkesHQo - transcript (automated).pdf","Transcript Link")</f>
        <v>Transcript Link</v>
      </c>
      <c r="M1095" s="2" t="str">
        <f>HYPERLINK("https://files.afu.se/Downloads/Transcripts/0%20-%20Government/USA%20-%20NASA%20Kennedy/2013 12 19 - NASA's Kennedy Space Center - SMASH Alloys to Improve Aerospace Safety Margins_VBgGpkesHQo - transcript (automated).pdf","Transcript Link")</f>
        <v>Transcript Link</v>
      </c>
    </row>
    <row r="1096" ht="270" spans="1:13">
      <c r="A1096" s="1" t="s">
        <v>5078</v>
      </c>
      <c r="B1096" s="1" t="s">
        <v>13</v>
      </c>
      <c r="C1096" s="4" t="s">
        <v>5079</v>
      </c>
      <c r="D1096" s="1" t="s">
        <v>5080</v>
      </c>
      <c r="E1096" s="1" t="s">
        <v>5081</v>
      </c>
      <c r="F1096" s="4" t="s">
        <v>17</v>
      </c>
      <c r="G1096" s="1" t="s">
        <v>18</v>
      </c>
      <c r="H1096" s="1" t="s">
        <v>19</v>
      </c>
      <c r="I1096" s="1" t="s">
        <v>20</v>
      </c>
      <c r="J1096" s="1" t="s">
        <v>5082</v>
      </c>
      <c r="K1096" s="1" t="s">
        <v>22</v>
      </c>
      <c r="L1096" s="1" t="str">
        <f>HYPERLINK("https://files.afu.se/Downloads/Transcripts/0%20-%20Government/USA%20-%20NASA%20Kennedy/2013 12 17 - NASA's Kennedy Space Center - Morpheus Second Free Flight Test at Kennedy Space Center_nVvvL2UW5Ko - transcript (automated).pdf","Transcript Link")</f>
        <v>Transcript Link</v>
      </c>
      <c r="M1096" s="2" t="str">
        <f>HYPERLINK("https://files.afu.se/Downloads/Transcripts/0%20-%20Government/USA%20-%20NASA%20Kennedy/2013 12 17 - NASA's Kennedy Space Center - Morpheus Second Free Flight Test at Kennedy Space Center_nVvvL2UW5Ko - transcript (automated).pdf","Transcript Link")</f>
        <v>Transcript Link</v>
      </c>
    </row>
    <row r="1097" ht="180" spans="1:13">
      <c r="A1097" s="1" t="s">
        <v>5083</v>
      </c>
      <c r="B1097" s="1" t="s">
        <v>13</v>
      </c>
      <c r="C1097" s="4" t="s">
        <v>5084</v>
      </c>
      <c r="D1097" s="1" t="s">
        <v>5085</v>
      </c>
      <c r="E1097" s="1" t="s">
        <v>5086</v>
      </c>
      <c r="F1097" s="4" t="s">
        <v>17</v>
      </c>
      <c r="G1097" s="1" t="s">
        <v>18</v>
      </c>
      <c r="H1097" s="1" t="s">
        <v>19</v>
      </c>
      <c r="I1097" s="1" t="s">
        <v>20</v>
      </c>
      <c r="J1097" s="1" t="s">
        <v>5087</v>
      </c>
      <c r="K1097" s="1" t="s">
        <v>22</v>
      </c>
      <c r="L1097" s="1" t="str">
        <f>HYPERLINK("https://files.afu.se/Downloads/Transcripts/0%20-%20Government/USA%20-%20NASA%20Kennedy/2013 12 13 - NASA's Kennedy Space Center - Kennedy Now! December 2013_smq3lIOfFog - transcript (automated).pdf","Transcript Link")</f>
        <v>Transcript Link</v>
      </c>
      <c r="M1097" s="2" t="str">
        <f>HYPERLINK("https://files.afu.se/Downloads/Transcripts/0%20-%20Government/USA%20-%20NASA%20Kennedy/2013 12 13 - NASA's Kennedy Space Center - Kennedy Now! December 2013_smq3lIOfFog - transcript (automated).pdf","Transcript Link")</f>
        <v>Transcript Link</v>
      </c>
    </row>
    <row r="1098" ht="180" spans="1:13">
      <c r="A1098" s="1" t="s">
        <v>5088</v>
      </c>
      <c r="B1098" s="1" t="s">
        <v>13</v>
      </c>
      <c r="C1098" s="4" t="s">
        <v>5089</v>
      </c>
      <c r="D1098" s="1" t="s">
        <v>5090</v>
      </c>
      <c r="E1098" s="1" t="s">
        <v>5091</v>
      </c>
      <c r="F1098" s="4" t="s">
        <v>17</v>
      </c>
      <c r="G1098" s="1" t="s">
        <v>18</v>
      </c>
      <c r="H1098" s="1" t="s">
        <v>19</v>
      </c>
      <c r="I1098" s="1" t="s">
        <v>20</v>
      </c>
      <c r="J1098" s="1" t="s">
        <v>5092</v>
      </c>
      <c r="K1098" s="1" t="s">
        <v>22</v>
      </c>
      <c r="L1098" s="1" t="str">
        <f>HYPERLINK("https://files.afu.se/Downloads/Transcripts/0%20-%20Government/USA%20-%20NASA%20Kennedy/2013 12 10 - NASA's Kennedy Space Center - The International Space Station Celebrates 15 Years_73I3TLaXAH8 - transcript (automated).pdf","Transcript Link")</f>
        <v>Transcript Link</v>
      </c>
      <c r="M1098" s="2" t="str">
        <f>HYPERLINK("https://files.afu.se/Downloads/Transcripts/0%20-%20Government/USA%20-%20NASA%20Kennedy/2013 12 10 - NASA's Kennedy Space Center - The International Space Station Celebrates 15 Years_73I3TLaXAH8 - transcript (automated).pdf","Transcript Link")</f>
        <v>Transcript Link</v>
      </c>
    </row>
    <row r="1099" ht="255" spans="1:13">
      <c r="A1099" s="1" t="s">
        <v>5088</v>
      </c>
      <c r="B1099" s="1" t="s">
        <v>13</v>
      </c>
      <c r="C1099" s="4" t="s">
        <v>5093</v>
      </c>
      <c r="D1099" s="1" t="s">
        <v>5094</v>
      </c>
      <c r="E1099" s="1" t="s">
        <v>5095</v>
      </c>
      <c r="F1099" s="4" t="s">
        <v>17</v>
      </c>
      <c r="G1099" s="1" t="s">
        <v>18</v>
      </c>
      <c r="H1099" s="1" t="s">
        <v>19</v>
      </c>
      <c r="I1099" s="1" t="s">
        <v>20</v>
      </c>
      <c r="J1099" s="1" t="s">
        <v>5096</v>
      </c>
      <c r="K1099" s="1" t="s">
        <v>22</v>
      </c>
      <c r="L1099" s="1" t="str">
        <f>HYPERLINK("https://files.afu.se/Downloads/Transcripts/0%20-%20Government/USA%20-%20NASA%20Kennedy/2013 12 10 - NASA's Kennedy Space Center - Morpheus Flies Free in Kennedy Test_RlbTx4fo5Tw - transcript (automated).pdf","Transcript Link")</f>
        <v>Transcript Link</v>
      </c>
      <c r="M1099" s="2" t="str">
        <f>HYPERLINK("https://files.afu.se/Downloads/Transcripts/0%20-%20Government/USA%20-%20NASA%20Kennedy/2013 12 10 - NASA's Kennedy Space Center - Morpheus Flies Free in Kennedy Test_RlbTx4fo5Tw - transcript (automated).pdf","Transcript Link")</f>
        <v>Transcript Link</v>
      </c>
    </row>
    <row r="1100" ht="285" spans="1:13">
      <c r="A1100" s="1" t="s">
        <v>5097</v>
      </c>
      <c r="B1100" s="1" t="s">
        <v>13</v>
      </c>
      <c r="C1100" s="4" t="s">
        <v>5098</v>
      </c>
      <c r="D1100" s="1" t="s">
        <v>5099</v>
      </c>
      <c r="E1100" s="1" t="s">
        <v>5100</v>
      </c>
      <c r="F1100" s="4" t="s">
        <v>17</v>
      </c>
      <c r="G1100" s="1" t="s">
        <v>18</v>
      </c>
      <c r="H1100" s="1" t="s">
        <v>19</v>
      </c>
      <c r="I1100" s="1" t="s">
        <v>20</v>
      </c>
      <c r="J1100" s="1" t="s">
        <v>5101</v>
      </c>
      <c r="K1100" s="1" t="s">
        <v>22</v>
      </c>
      <c r="L1100" s="1" t="str">
        <f>HYPERLINK("https://files.afu.se/Downloads/Transcripts/0%20-%20Government/USA%20-%20NASA%20Kennedy/2013 12 03 - NASA's Kennedy Space Center - Blue Origin Test-Fires New BE-3 Engine_T5Xbhw8M5rU - transcript (automated).pdf","Transcript Link")</f>
        <v>Transcript Link</v>
      </c>
      <c r="M1100" s="2" t="str">
        <f>HYPERLINK("https://files.afu.se/Downloads/Transcripts/0%20-%20Government/USA%20-%20NASA%20Kennedy/2013 12 03 - NASA's Kennedy Space Center - Blue Origin Test-Fires New BE-3 Engine_T5Xbhw8M5rU - transcript (automated).pdf","Transcript Link")</f>
        <v>Transcript Link</v>
      </c>
    </row>
    <row r="1101" ht="180" spans="1:13">
      <c r="A1101" s="1" t="s">
        <v>5102</v>
      </c>
      <c r="B1101" s="1" t="s">
        <v>13</v>
      </c>
      <c r="C1101" s="4" t="s">
        <v>5103</v>
      </c>
      <c r="D1101" s="1" t="s">
        <v>5104</v>
      </c>
      <c r="E1101" s="1" t="s">
        <v>5105</v>
      </c>
      <c r="F1101" s="4" t="s">
        <v>17</v>
      </c>
      <c r="G1101" s="1" t="s">
        <v>18</v>
      </c>
      <c r="H1101" s="1" t="s">
        <v>19</v>
      </c>
      <c r="I1101" s="1" t="s">
        <v>20</v>
      </c>
      <c r="J1101" s="1" t="s">
        <v>5106</v>
      </c>
      <c r="K1101" s="1" t="s">
        <v>22</v>
      </c>
      <c r="L1101" s="1" t="str">
        <f>HYPERLINK("https://files.afu.se/Downloads/Transcripts/0%20-%20Government/USA%20-%20NASA%20Kennedy/2013 11 25 - NASA's Kennedy Space Center - KSC Fire Rescue Aerial Training_awY3-pRsfQc - transcript (automated).pdf","Transcript Link")</f>
        <v>Transcript Link</v>
      </c>
      <c r="M1101" s="2" t="str">
        <f>HYPERLINK("https://files.afu.se/Downloads/Transcripts/0%20-%20Government/USA%20-%20NASA%20Kennedy/2013 11 25 - NASA's Kennedy Space Center - KSC Fire Rescue Aerial Training_awY3-pRsfQc - transcript (automated).pdf","Transcript Link")</f>
        <v>Transcript Link</v>
      </c>
    </row>
    <row r="1102" ht="180" spans="1:13">
      <c r="A1102" s="1" t="s">
        <v>5107</v>
      </c>
      <c r="B1102" s="1" t="s">
        <v>13</v>
      </c>
      <c r="C1102" s="4" t="s">
        <v>5108</v>
      </c>
      <c r="D1102" s="1" t="s">
        <v>5109</v>
      </c>
      <c r="E1102" s="1" t="s">
        <v>5110</v>
      </c>
      <c r="F1102" s="4" t="s">
        <v>17</v>
      </c>
      <c r="G1102" s="1" t="s">
        <v>18</v>
      </c>
      <c r="H1102" s="1" t="s">
        <v>19</v>
      </c>
      <c r="I1102" s="1" t="s">
        <v>20</v>
      </c>
      <c r="J1102" s="1" t="s">
        <v>5111</v>
      </c>
      <c r="K1102" s="1" t="s">
        <v>22</v>
      </c>
      <c r="L1102" s="1" t="str">
        <f>HYPERLINK("https://files.afu.se/Downloads/Transcripts/0%20-%20Government/USA%20-%20NASA%20Kennedy/2013 11 21 - NASA's Kennedy Space Center - International Space Station at 15  First Construction_xV5sk6Zkt24 - transcript (automated).pdf","Transcript Link")</f>
        <v>Transcript Link</v>
      </c>
      <c r="M1102" s="2" t="str">
        <f>HYPERLINK("https://files.afu.se/Downloads/Transcripts/0%20-%20Government/USA%20-%20NASA%20Kennedy/2013 11 21 - NASA's Kennedy Space Center - International Space Station at 15  First Construction_xV5sk6Zkt24 - transcript (automated).pdf","Transcript Link")</f>
        <v>Transcript Link</v>
      </c>
    </row>
    <row r="1103" ht="180" spans="1:13">
      <c r="A1103" s="1" t="s">
        <v>5112</v>
      </c>
      <c r="B1103" s="1" t="s">
        <v>13</v>
      </c>
      <c r="C1103" s="4" t="s">
        <v>5113</v>
      </c>
      <c r="D1103" s="1" t="s">
        <v>5114</v>
      </c>
      <c r="E1103" s="1" t="s">
        <v>5115</v>
      </c>
      <c r="F1103" s="4" t="s">
        <v>17</v>
      </c>
      <c r="G1103" s="1" t="s">
        <v>18</v>
      </c>
      <c r="H1103" s="1" t="s">
        <v>19</v>
      </c>
      <c r="I1103" s="1" t="s">
        <v>20</v>
      </c>
      <c r="J1103" s="1" t="s">
        <v>5116</v>
      </c>
      <c r="K1103" s="1" t="s">
        <v>22</v>
      </c>
      <c r="L1103" s="1" t="str">
        <f>HYPERLINK("https://files.afu.se/Downloads/Transcripts/0%20-%20Government/USA%20-%20NASA%20Kennedy/2013 11 18 - NASA's Kennedy Space Center - NASA Administrator Congratulates MAVEN Launch Team_L3G-HScAJuY - transcript (automated).pdf","Transcript Link")</f>
        <v>Transcript Link</v>
      </c>
      <c r="M1103" s="2" t="str">
        <f>HYPERLINK("https://files.afu.se/Downloads/Transcripts/0%20-%20Government/USA%20-%20NASA%20Kennedy/2013 11 18 - NASA's Kennedy Space Center - NASA Administrator Congratulates MAVEN Launch Team_L3G-HScAJuY - transcript (automated).pdf","Transcript Link")</f>
        <v>Transcript Link</v>
      </c>
    </row>
    <row r="1104" ht="180" spans="1:13">
      <c r="A1104" s="1" t="s">
        <v>5112</v>
      </c>
      <c r="B1104" s="1" t="s">
        <v>13</v>
      </c>
      <c r="C1104" s="4" t="s">
        <v>5117</v>
      </c>
      <c r="D1104" s="1" t="s">
        <v>5118</v>
      </c>
      <c r="E1104" s="1" t="s">
        <v>5119</v>
      </c>
      <c r="F1104" s="4" t="s">
        <v>17</v>
      </c>
      <c r="G1104" s="1" t="s">
        <v>18</v>
      </c>
      <c r="H1104" s="1" t="s">
        <v>19</v>
      </c>
      <c r="I1104" s="1" t="s">
        <v>20</v>
      </c>
      <c r="J1104" s="1" t="s">
        <v>5120</v>
      </c>
      <c r="K1104" s="1" t="s">
        <v>22</v>
      </c>
      <c r="L1104" s="1" t="str">
        <f>HYPERLINK("https://files.afu.se/Downloads/Transcripts/0%20-%20Government/USA%20-%20NASA%20Kennedy/2013 11 18 - NASA's Kennedy Space Center - NASA Manager Discusses MAVEN Launch_OeznNgnBkTY - transcript (automated).pdf","Transcript Link")</f>
        <v>Transcript Link</v>
      </c>
      <c r="M1104" s="2" t="str">
        <f>HYPERLINK("https://files.afu.se/Downloads/Transcripts/0%20-%20Government/USA%20-%20NASA%20Kennedy/2013 11 18 - NASA's Kennedy Space Center - NASA Manager Discusses MAVEN Launch_OeznNgnBkTY - transcript (automated).pdf","Transcript Link")</f>
        <v>Transcript Link</v>
      </c>
    </row>
    <row r="1105" ht="180" spans="1:13">
      <c r="A1105" s="1" t="s">
        <v>5112</v>
      </c>
      <c r="B1105" s="1" t="s">
        <v>13</v>
      </c>
      <c r="C1105" s="4" t="s">
        <v>5121</v>
      </c>
      <c r="D1105" s="1" t="s">
        <v>5122</v>
      </c>
      <c r="E1105" s="1" t="s">
        <v>5123</v>
      </c>
      <c r="F1105" s="4" t="s">
        <v>17</v>
      </c>
      <c r="G1105" s="1" t="s">
        <v>18</v>
      </c>
      <c r="H1105" s="1" t="s">
        <v>19</v>
      </c>
      <c r="I1105" s="1" t="s">
        <v>20</v>
      </c>
      <c r="J1105" s="1" t="s">
        <v>5124</v>
      </c>
      <c r="K1105" s="1" t="s">
        <v>22</v>
      </c>
      <c r="L1105" s="1" t="str">
        <f>HYPERLINK("https://files.afu.se/Downloads/Transcripts/0%20-%20Government/USA%20-%20NASA%20Kennedy/2013 11 18 - NASA's Kennedy Space Center - MAVEN Separates from Centaur Upper Stage_v3cBQtxde_0 - transcript (automated).pdf","Transcript Link")</f>
        <v>Transcript Link</v>
      </c>
      <c r="M1105" s="2" t="str">
        <f>HYPERLINK("https://files.afu.se/Downloads/Transcripts/0%20-%20Government/USA%20-%20NASA%20Kennedy/2013 11 18 - NASA's Kennedy Space Center - MAVEN Separates from Centaur Upper Stage_v3cBQtxde_0 - transcript (automated).pdf","Transcript Link")</f>
        <v>Transcript Link</v>
      </c>
    </row>
    <row r="1106" ht="180" spans="1:13">
      <c r="A1106" s="1" t="s">
        <v>5112</v>
      </c>
      <c r="B1106" s="1" t="s">
        <v>13</v>
      </c>
      <c r="C1106" s="4" t="s">
        <v>5125</v>
      </c>
      <c r="D1106" s="1" t="s">
        <v>5126</v>
      </c>
      <c r="E1106" s="1" t="s">
        <v>5127</v>
      </c>
      <c r="F1106" s="4" t="s">
        <v>17</v>
      </c>
      <c r="G1106" s="1" t="s">
        <v>18</v>
      </c>
      <c r="H1106" s="1" t="s">
        <v>19</v>
      </c>
      <c r="I1106" s="1" t="s">
        <v>20</v>
      </c>
      <c r="J1106" s="1" t="s">
        <v>5128</v>
      </c>
      <c r="K1106" s="1" t="s">
        <v>22</v>
      </c>
      <c r="L1106" s="1" t="str">
        <f>HYPERLINK("https://files.afu.se/Downloads/Transcripts/0%20-%20Government/USA%20-%20NASA%20Kennedy/2013 11 18 - NASA's Kennedy Space Center - Liftoff of MAVEN_rh_nyFIwPy0 - transcript (automated).pdf","Transcript Link")</f>
        <v>Transcript Link</v>
      </c>
      <c r="M1106" s="2" t="str">
        <f>HYPERLINK("https://files.afu.se/Downloads/Transcripts/0%20-%20Government/USA%20-%20NASA%20Kennedy/2013 11 18 - NASA's Kennedy Space Center - Liftoff of MAVEN_rh_nyFIwPy0 - transcript (automated).pdf","Transcript Link")</f>
        <v>Transcript Link</v>
      </c>
    </row>
    <row r="1107" ht="180" spans="1:13">
      <c r="A1107" s="1" t="s">
        <v>5112</v>
      </c>
      <c r="B1107" s="1" t="s">
        <v>13</v>
      </c>
      <c r="C1107" s="4" t="s">
        <v>5129</v>
      </c>
      <c r="D1107" s="1" t="s">
        <v>5130</v>
      </c>
      <c r="E1107" s="1" t="s">
        <v>5131</v>
      </c>
      <c r="F1107" s="4" t="s">
        <v>17</v>
      </c>
      <c r="G1107" s="1" t="s">
        <v>18</v>
      </c>
      <c r="H1107" s="1" t="s">
        <v>19</v>
      </c>
      <c r="I1107" s="1" t="s">
        <v>20</v>
      </c>
      <c r="J1107" s="1" t="s">
        <v>5132</v>
      </c>
      <c r="K1107" s="1" t="s">
        <v>22</v>
      </c>
      <c r="L1107" s="1" t="str">
        <f>HYPERLINK("https://files.afu.se/Downloads/Transcripts/0%20-%20Government/USA%20-%20NASA%20Kennedy/2013 11 18 - NASA's Kennedy Space Center - MAVEN Ready for Launch_o9-YQS_Sfb4 - transcript (automated).pdf","Transcript Link")</f>
        <v>Transcript Link</v>
      </c>
      <c r="M1107" s="2" t="str">
        <f>HYPERLINK("https://files.afu.se/Downloads/Transcripts/0%20-%20Government/USA%20-%20NASA%20Kennedy/2013 11 18 - NASA's Kennedy Space Center - MAVEN Ready for Launch_o9-YQS_Sfb4 - transcript (automated).pdf","Transcript Link")</f>
        <v>Transcript Link</v>
      </c>
    </row>
    <row r="1108" ht="180" spans="1:13">
      <c r="A1108" s="1" t="s">
        <v>5112</v>
      </c>
      <c r="B1108" s="1" t="s">
        <v>13</v>
      </c>
      <c r="C1108" s="4" t="s">
        <v>5133</v>
      </c>
      <c r="D1108" s="1" t="s">
        <v>5134</v>
      </c>
      <c r="E1108" s="1" t="s">
        <v>5135</v>
      </c>
      <c r="F1108" s="4" t="s">
        <v>17</v>
      </c>
      <c r="G1108" s="1" t="s">
        <v>18</v>
      </c>
      <c r="H1108" s="1" t="s">
        <v>19</v>
      </c>
      <c r="I1108" s="1" t="s">
        <v>20</v>
      </c>
      <c r="J1108" s="1" t="s">
        <v>5136</v>
      </c>
      <c r="K1108" s="1" t="s">
        <v>22</v>
      </c>
      <c r="L1108" s="1" t="str">
        <f>HYPERLINK("https://files.afu.se/Downloads/Transcripts/0%20-%20Government/USA%20-%20NASA%20Kennedy/2013 11 18 - NASA's Kennedy Space Center - The MAVEN Countdown is Underway_fOroyQc0tGQ - transcript (automated).pdf","Transcript Link")</f>
        <v>Transcript Link</v>
      </c>
      <c r="M1108" s="2" t="str">
        <f>HYPERLINK("https://files.afu.se/Downloads/Transcripts/0%20-%20Government/USA%20-%20NASA%20Kennedy/2013 11 18 - NASA's Kennedy Space Center - The MAVEN Countdown is Underway_fOroyQc0tGQ - transcript (automated).pdf","Transcript Link")</f>
        <v>Transcript Link</v>
      </c>
    </row>
    <row r="1109" ht="180" spans="1:13">
      <c r="A1109" s="1" t="s">
        <v>5137</v>
      </c>
      <c r="B1109" s="1" t="s">
        <v>13</v>
      </c>
      <c r="C1109" s="4" t="s">
        <v>5138</v>
      </c>
      <c r="D1109" s="1" t="s">
        <v>5139</v>
      </c>
      <c r="E1109" s="1" t="s">
        <v>5140</v>
      </c>
      <c r="F1109" s="4" t="s">
        <v>17</v>
      </c>
      <c r="G1109" s="1" t="s">
        <v>18</v>
      </c>
      <c r="H1109" s="1" t="s">
        <v>19</v>
      </c>
      <c r="I1109" s="1" t="s">
        <v>20</v>
      </c>
      <c r="J1109" s="1" t="s">
        <v>5141</v>
      </c>
      <c r="K1109" s="1" t="s">
        <v>22</v>
      </c>
      <c r="L1109" s="1" t="str">
        <f>HYPERLINK("https://files.afu.se/Downloads/Transcripts/0%20-%20Government/USA%20-%20NASA%20Kennedy/2013 11 16 - NASA's Kennedy Space Center - MAVEN Rolls to the Launch Pad_g0lxTh2EBY8 - transcript (automated).pdf","Transcript Link")</f>
        <v>Transcript Link</v>
      </c>
      <c r="M1109" s="2" t="str">
        <f>HYPERLINK("https://files.afu.se/Downloads/Transcripts/0%20-%20Government/USA%20-%20NASA%20Kennedy/2013 11 16 - NASA's Kennedy Space Center - MAVEN Rolls to the Launch Pad_g0lxTh2EBY8 - transcript (automated).pdf","Transcript Link")</f>
        <v>Transcript Link</v>
      </c>
    </row>
    <row r="1110" ht="180" spans="1:13">
      <c r="A1110" s="1" t="s">
        <v>5142</v>
      </c>
      <c r="B1110" s="1" t="s">
        <v>13</v>
      </c>
      <c r="C1110" s="4" t="s">
        <v>5143</v>
      </c>
      <c r="D1110" s="1" t="s">
        <v>5144</v>
      </c>
      <c r="E1110" s="1" t="s">
        <v>5145</v>
      </c>
      <c r="F1110" s="4" t="s">
        <v>17</v>
      </c>
      <c r="G1110" s="1" t="s">
        <v>18</v>
      </c>
      <c r="H1110" s="1" t="s">
        <v>19</v>
      </c>
      <c r="I1110" s="1" t="s">
        <v>20</v>
      </c>
      <c r="J1110" s="1" t="s">
        <v>5146</v>
      </c>
      <c r="K1110" s="1" t="s">
        <v>22</v>
      </c>
      <c r="L1110" s="1" t="str">
        <f>HYPERLINK("https://files.afu.se/Downloads/Transcripts/0%20-%20Government/USA%20-%20NASA%20Kennedy/2013 11 15 - NASA's Kennedy Space Center - MAVEN Processing in Minutes_Z4MXuw7-8ow - transcript (automated).pdf","Transcript Link")</f>
        <v>Transcript Link</v>
      </c>
      <c r="M1110" s="2" t="str">
        <f>HYPERLINK("https://files.afu.se/Downloads/Transcripts/0%20-%20Government/USA%20-%20NASA%20Kennedy/2013 11 15 - NASA's Kennedy Space Center - MAVEN Processing in Minutes_Z4MXuw7-8ow - transcript (automated).pdf","Transcript Link")</f>
        <v>Transcript Link</v>
      </c>
    </row>
    <row r="1111" ht="180" spans="1:13">
      <c r="A1111" s="1" t="s">
        <v>5147</v>
      </c>
      <c r="B1111" s="1" t="s">
        <v>13</v>
      </c>
      <c r="C1111" s="4" t="s">
        <v>5148</v>
      </c>
      <c r="D1111" s="1" t="s">
        <v>5149</v>
      </c>
      <c r="E1111" s="1" t="s">
        <v>5150</v>
      </c>
      <c r="F1111" s="4" t="s">
        <v>17</v>
      </c>
      <c r="G1111" s="1" t="s">
        <v>18</v>
      </c>
      <c r="H1111" s="1" t="s">
        <v>19</v>
      </c>
      <c r="I1111" s="1" t="s">
        <v>20</v>
      </c>
      <c r="J1111" s="1" t="s">
        <v>5151</v>
      </c>
      <c r="K1111" s="1" t="s">
        <v>22</v>
      </c>
      <c r="L1111" s="1" t="str">
        <f>HYPERLINK("https://files.afu.se/Downloads/Transcripts/0%20-%20Government/USA%20-%20NASA%20Kennedy/2013 11 14 - NASA's Kennedy Space Center - MAVEN to Explore Upper Atmosphere of Mars_MYhteEVgOEI - transcript (automated).pdf","Transcript Link")</f>
        <v>Transcript Link</v>
      </c>
      <c r="M1111" s="2" t="str">
        <f>HYPERLINK("https://files.afu.se/Downloads/Transcripts/0%20-%20Government/USA%20-%20NASA%20Kennedy/2013 11 14 - NASA's Kennedy Space Center - MAVEN to Explore Upper Atmosphere of Mars_MYhteEVgOEI - transcript (automated).pdf","Transcript Link")</f>
        <v>Transcript Link</v>
      </c>
    </row>
    <row r="1112" ht="180" spans="1:13">
      <c r="A1112" s="1" t="s">
        <v>5152</v>
      </c>
      <c r="B1112" s="1" t="s">
        <v>13</v>
      </c>
      <c r="C1112" s="4" t="s">
        <v>5153</v>
      </c>
      <c r="D1112" s="1" t="s">
        <v>5154</v>
      </c>
      <c r="E1112" s="1" t="s">
        <v>5155</v>
      </c>
      <c r="F1112" s="4" t="s">
        <v>17</v>
      </c>
      <c r="G1112" s="1" t="s">
        <v>18</v>
      </c>
      <c r="H1112" s="1" t="s">
        <v>19</v>
      </c>
      <c r="I1112" s="1" t="s">
        <v>20</v>
      </c>
      <c r="J1112" s="1" t="s">
        <v>5156</v>
      </c>
      <c r="K1112" s="1" t="s">
        <v>22</v>
      </c>
      <c r="L1112" s="1" t="str">
        <f>HYPERLINK("https://files.afu.se/Downloads/Transcripts/0%20-%20Government/USA%20-%20NASA%20Kennedy/2013 11 13 - NASA's Kennedy Space Center - NASA's MAVEN Prepared for Trip to Mars__RcVzckESsM - transcript (automated).pdf","Transcript Link")</f>
        <v>Transcript Link</v>
      </c>
      <c r="M1112" s="2" t="str">
        <f>HYPERLINK("https://files.afu.se/Downloads/Transcripts/0%20-%20Government/USA%20-%20NASA%20Kennedy/2013 11 13 - NASA's Kennedy Space Center - NASA's MAVEN Prepared for Trip to Mars__RcVzckESsM - transcript (automated).pdf","Transcript Link")</f>
        <v>Transcript Link</v>
      </c>
    </row>
    <row r="1113" ht="180" spans="1:13">
      <c r="A1113" s="1" t="s">
        <v>5157</v>
      </c>
      <c r="B1113" s="1" t="s">
        <v>13</v>
      </c>
      <c r="C1113" s="4" t="s">
        <v>5158</v>
      </c>
      <c r="D1113" s="1" t="s">
        <v>5159</v>
      </c>
      <c r="E1113" s="1" t="s">
        <v>5160</v>
      </c>
      <c r="F1113" s="4" t="s">
        <v>17</v>
      </c>
      <c r="G1113" s="1" t="s">
        <v>18</v>
      </c>
      <c r="H1113" s="1" t="s">
        <v>19</v>
      </c>
      <c r="I1113" s="1" t="s">
        <v>20</v>
      </c>
      <c r="J1113" s="1" t="s">
        <v>5161</v>
      </c>
      <c r="K1113" s="1" t="s">
        <v>22</v>
      </c>
      <c r="L1113" s="1" t="str">
        <f>HYPERLINK("https://files.afu.se/Downloads/Transcripts/0%20-%20Government/USA%20-%20NASA%20Kennedy/2013 09 23 - NASA's Kennedy Space Center - Langley Tests Dream Chaser's Thermal Dynamics__InEufePaBE - transcript (automated).pdf","Transcript Link")</f>
        <v>Transcript Link</v>
      </c>
      <c r="M1113" s="2" t="str">
        <f>HYPERLINK("https://files.afu.se/Downloads/Transcripts/0%20-%20Government/USA%20-%20NASA%20Kennedy/2013 09 23 - NASA's Kennedy Space Center - Langley Tests Dream Chaser's Thermal Dynamics__InEufePaBE - transcript (automated).pdf","Transcript Link")</f>
        <v>Transcript Link</v>
      </c>
    </row>
    <row r="1114" ht="180" spans="1:13">
      <c r="A1114" s="1" t="s">
        <v>5162</v>
      </c>
      <c r="B1114" s="1" t="s">
        <v>13</v>
      </c>
      <c r="C1114" s="4" t="s">
        <v>5163</v>
      </c>
      <c r="D1114" s="1" t="s">
        <v>5164</v>
      </c>
      <c r="E1114" s="1" t="s">
        <v>5165</v>
      </c>
      <c r="F1114" s="4" t="s">
        <v>17</v>
      </c>
      <c r="G1114" s="1" t="s">
        <v>18</v>
      </c>
      <c r="H1114" s="1" t="s">
        <v>19</v>
      </c>
      <c r="I1114" s="1" t="s">
        <v>20</v>
      </c>
      <c r="J1114" s="1" t="s">
        <v>5166</v>
      </c>
      <c r="K1114" s="1" t="s">
        <v>22</v>
      </c>
      <c r="L1114" s="1" t="str">
        <f>HYPERLINK("https://files.afu.se/Downloads/Transcripts/0%20-%20Government/USA%20-%20NASA%20Kennedy/2013 09 19 - NASA's Kennedy Space Center - Kennedy NOW! August 2013_etOz_y2R25c - transcript (automated).pdf","Transcript Link")</f>
        <v>Transcript Link</v>
      </c>
      <c r="M1114" s="2" t="str">
        <f>HYPERLINK("https://files.afu.se/Downloads/Transcripts/0%20-%20Government/USA%20-%20NASA%20Kennedy/2013 09 19 - NASA's Kennedy Space Center - Kennedy NOW! August 2013_etOz_y2R25c - transcript (automated).pdf","Transcript Link")</f>
        <v>Transcript Link</v>
      </c>
    </row>
    <row r="1115" ht="210" spans="1:13">
      <c r="A1115" s="1" t="s">
        <v>5167</v>
      </c>
      <c r="B1115" s="1" t="s">
        <v>13</v>
      </c>
      <c r="C1115" s="4" t="s">
        <v>5168</v>
      </c>
      <c r="D1115" s="1" t="s">
        <v>5169</v>
      </c>
      <c r="E1115" s="1" t="s">
        <v>5170</v>
      </c>
      <c r="F1115" s="4" t="s">
        <v>17</v>
      </c>
      <c r="G1115" s="1" t="s">
        <v>18</v>
      </c>
      <c r="H1115" s="1" t="s">
        <v>19</v>
      </c>
      <c r="I1115" s="1" t="s">
        <v>20</v>
      </c>
      <c r="J1115" s="1" t="s">
        <v>5171</v>
      </c>
      <c r="K1115" s="1" t="s">
        <v>22</v>
      </c>
      <c r="L1115" s="1" t="str">
        <f>HYPERLINK("https://files.afu.se/Downloads/Transcripts/0%20-%20Government/USA%20-%20NASA%20Kennedy/2013 09 16 - NASA's Kennedy Space Center - CCP Initiative At Four  Working Toward Space_EUXG4xwLnBQ - transcript (automated).pdf","Transcript Link")</f>
        <v>Transcript Link</v>
      </c>
      <c r="M1115" s="2" t="str">
        <f>HYPERLINK("https://files.afu.se/Downloads/Transcripts/0%20-%20Government/USA%20-%20NASA%20Kennedy/2013 09 16 - NASA's Kennedy Space Center - CCP Initiative At Four  Working Toward Space_EUXG4xwLnBQ - transcript (automated).pdf","Transcript Link")</f>
        <v>Transcript Link</v>
      </c>
    </row>
    <row r="1116" ht="255" spans="1:13">
      <c r="A1116" s="1" t="s">
        <v>5172</v>
      </c>
      <c r="B1116" s="1" t="s">
        <v>13</v>
      </c>
      <c r="C1116" s="4" t="s">
        <v>5173</v>
      </c>
      <c r="D1116" s="1" t="s">
        <v>5174</v>
      </c>
      <c r="E1116" s="1" t="s">
        <v>5175</v>
      </c>
      <c r="F1116" s="4" t="s">
        <v>17</v>
      </c>
      <c r="G1116" s="1" t="s">
        <v>18</v>
      </c>
      <c r="H1116" s="1" t="s">
        <v>19</v>
      </c>
      <c r="I1116" s="1" t="s">
        <v>20</v>
      </c>
      <c r="J1116" s="1" t="s">
        <v>5176</v>
      </c>
      <c r="K1116" s="1" t="s">
        <v>22</v>
      </c>
      <c r="L1116" s="1" t="str">
        <f>HYPERLINK("https://files.afu.se/Downloads/Transcripts/0%20-%20Government/USA%20-%20NASA%20Kennedy/2013 08 29 - NASA's Kennedy Space Center - SNC Dream Chaser Captive-Carry Test August 2013_K_dgqsS9a7U - transcript (automated).pdf","Transcript Link")</f>
        <v>Transcript Link</v>
      </c>
      <c r="M1116" s="2" t="str">
        <f>HYPERLINK("https://files.afu.se/Downloads/Transcripts/0%20-%20Government/USA%20-%20NASA%20Kennedy/2013 08 29 - NASA's Kennedy Space Center - SNC Dream Chaser Captive-Carry Test August 2013_K_dgqsS9a7U - transcript (automated).pdf","Transcript Link")</f>
        <v>Transcript Link</v>
      </c>
    </row>
    <row r="1117" ht="180" spans="1:13">
      <c r="A1117" s="1" t="s">
        <v>5177</v>
      </c>
      <c r="B1117" s="1" t="s">
        <v>13</v>
      </c>
      <c r="C1117" s="4" t="s">
        <v>5178</v>
      </c>
      <c r="D1117" s="1" t="s">
        <v>5179</v>
      </c>
      <c r="E1117" s="1" t="s">
        <v>5180</v>
      </c>
      <c r="F1117" s="4" t="s">
        <v>17</v>
      </c>
      <c r="G1117" s="1" t="s">
        <v>18</v>
      </c>
      <c r="H1117" s="1" t="s">
        <v>19</v>
      </c>
      <c r="I1117" s="1" t="s">
        <v>20</v>
      </c>
      <c r="J1117" s="1" t="s">
        <v>5181</v>
      </c>
      <c r="K1117" s="1" t="s">
        <v>22</v>
      </c>
      <c r="L1117" s="1" t="str">
        <f>HYPERLINK("https://files.afu.se/Downloads/Transcripts/0%20-%20Government/USA%20-%20NASA%20Kennedy/2013 08 21 - NASA's Kennedy Space Center - In Their Own Words  Commercial Crew's Henry May_SprUqLGLgTI - transcript (automated).pdf","Transcript Link")</f>
        <v>Transcript Link</v>
      </c>
      <c r="M1117" s="2" t="str">
        <f>HYPERLINK("https://files.afu.se/Downloads/Transcripts/0%20-%20Government/USA%20-%20NASA%20Kennedy/2013 08 21 - NASA's Kennedy Space Center - In Their Own Words  Commercial Crew's Henry May_SprUqLGLgTI - transcript (automated).pdf","Transcript Link")</f>
        <v>Transcript Link</v>
      </c>
    </row>
    <row r="1118" ht="195" spans="1:13">
      <c r="A1118" s="1" t="s">
        <v>5182</v>
      </c>
      <c r="B1118" s="1" t="s">
        <v>13</v>
      </c>
      <c r="C1118" s="4" t="s">
        <v>5183</v>
      </c>
      <c r="D1118" s="1" t="s">
        <v>5184</v>
      </c>
      <c r="E1118" s="1" t="s">
        <v>5185</v>
      </c>
      <c r="F1118" s="4" t="s">
        <v>17</v>
      </c>
      <c r="G1118" s="1" t="s">
        <v>18</v>
      </c>
      <c r="H1118" s="1" t="s">
        <v>19</v>
      </c>
      <c r="I1118" s="1" t="s">
        <v>20</v>
      </c>
      <c r="J1118" s="1" t="s">
        <v>5186</v>
      </c>
      <c r="K1118" s="1" t="s">
        <v>22</v>
      </c>
      <c r="L1118" s="1" t="str">
        <f>HYPERLINK("https://files.afu.se/Downloads/Transcripts/0%20-%20Government/USA%20-%20NASA%20Kennedy/2013 08 20 - NASA's Kennedy Space Center - Inside GSDO  The Vehicle Integration and Launch Team_3Yr52YDEp3k - transcript (automated).pdf","Transcript Link")</f>
        <v>Transcript Link</v>
      </c>
      <c r="M1118" s="2" t="str">
        <f>HYPERLINK("https://files.afu.se/Downloads/Transcripts/0%20-%20Government/USA%20-%20NASA%20Kennedy/2013 08 20 - NASA's Kennedy Space Center - Inside GSDO  The Vehicle Integration and Launch Team_3Yr52YDEp3k - transcript (automated).pdf","Transcript Link")</f>
        <v>Transcript Link</v>
      </c>
    </row>
    <row r="1119" ht="180" spans="1:13">
      <c r="A1119" s="1" t="s">
        <v>5187</v>
      </c>
      <c r="B1119" s="1" t="s">
        <v>13</v>
      </c>
      <c r="C1119" s="4" t="s">
        <v>5188</v>
      </c>
      <c r="D1119" s="1" t="s">
        <v>5189</v>
      </c>
      <c r="E1119" s="1" t="s">
        <v>5190</v>
      </c>
      <c r="F1119" s="4" t="s">
        <v>17</v>
      </c>
      <c r="G1119" s="1" t="s">
        <v>18</v>
      </c>
      <c r="H1119" s="1" t="s">
        <v>19</v>
      </c>
      <c r="I1119" s="1" t="s">
        <v>20</v>
      </c>
      <c r="J1119" s="1" t="s">
        <v>5191</v>
      </c>
      <c r="K1119" s="1" t="s">
        <v>22</v>
      </c>
      <c r="L1119" s="1" t="str">
        <f>HYPERLINK("https://files.afu.se/Downloads/Transcripts/0%20-%20Government/USA%20-%20NASA%20Kennedy/2013 08 16 - NASA's Kennedy Space Center - Kennedy NOW! July 2013_eXXbWxNlIlM - transcript (automated).pdf","Transcript Link")</f>
        <v>Transcript Link</v>
      </c>
      <c r="M1119" s="2" t="str">
        <f>HYPERLINK("https://files.afu.se/Downloads/Transcripts/0%20-%20Government/USA%20-%20NASA%20Kennedy/2013 08 16 - NASA's Kennedy Space Center - Kennedy NOW! July 2013_eXXbWxNlIlM - transcript (automated).pdf","Transcript Link")</f>
        <v>Transcript Link</v>
      </c>
    </row>
    <row r="1120" ht="180" spans="1:13">
      <c r="A1120" s="1" t="s">
        <v>5187</v>
      </c>
      <c r="B1120" s="1" t="s">
        <v>13</v>
      </c>
      <c r="C1120" s="4" t="s">
        <v>5192</v>
      </c>
      <c r="D1120" s="1" t="s">
        <v>5193</v>
      </c>
      <c r="E1120" s="1" t="s">
        <v>5194</v>
      </c>
      <c r="F1120" s="4" t="s">
        <v>17</v>
      </c>
      <c r="G1120" s="1" t="s">
        <v>18</v>
      </c>
      <c r="H1120" s="1" t="s">
        <v>19</v>
      </c>
      <c r="I1120" s="1" t="s">
        <v>20</v>
      </c>
      <c r="J1120" s="1" t="s">
        <v>5195</v>
      </c>
      <c r="K1120" s="1" t="s">
        <v>22</v>
      </c>
      <c r="L1120" s="1" t="str">
        <f>HYPERLINK("https://files.afu.se/Downloads/Transcripts/0%20-%20Government/USA%20-%20NASA%20Kennedy/2013 08 16 - NASA's Kennedy Space Center - CCP  Charting New Adventures, Seeking New Ships_yOIQwkp4Dpc - transcript (automated).pdf","Transcript Link")</f>
        <v>Transcript Link</v>
      </c>
      <c r="M1120" s="2" t="str">
        <f>HYPERLINK("https://files.afu.se/Downloads/Transcripts/0%20-%20Government/USA%20-%20NASA%20Kennedy/2013 08 16 - NASA's Kennedy Space Center - CCP  Charting New Adventures, Seeking New Ships_yOIQwkp4Dpc - transcript (automated).pdf","Transcript Link")</f>
        <v>Transcript Link</v>
      </c>
    </row>
    <row r="1121" ht="195" spans="1:13">
      <c r="A1121" s="1" t="s">
        <v>5196</v>
      </c>
      <c r="B1121" s="1" t="s">
        <v>13</v>
      </c>
      <c r="C1121" s="4" t="s">
        <v>5197</v>
      </c>
      <c r="D1121" s="1" t="s">
        <v>5198</v>
      </c>
      <c r="E1121" s="1" t="s">
        <v>5199</v>
      </c>
      <c r="F1121" s="4" t="s">
        <v>17</v>
      </c>
      <c r="G1121" s="1" t="s">
        <v>18</v>
      </c>
      <c r="H1121" s="1" t="s">
        <v>19</v>
      </c>
      <c r="I1121" s="1" t="s">
        <v>20</v>
      </c>
      <c r="J1121" s="1" t="s">
        <v>5200</v>
      </c>
      <c r="K1121" s="1" t="s">
        <v>22</v>
      </c>
      <c r="L1121" s="1" t="str">
        <f>HYPERLINK("https://files.afu.se/Downloads/Transcripts/0%20-%20Government/USA%20-%20NASA%20Kennedy/2013 08 13 - NASA's Kennedy Space Center - Dream Chaser Rolls Through Ground Tests_t4oQW_a7XkA - transcript (automated).pdf","Transcript Link")</f>
        <v>Transcript Link</v>
      </c>
      <c r="M1121" s="2" t="str">
        <f>HYPERLINK("https://files.afu.se/Downloads/Transcripts/0%20-%20Government/USA%20-%20NASA%20Kennedy/2013 08 13 - NASA's Kennedy Space Center - Dream Chaser Rolls Through Ground Tests_t4oQW_a7XkA - transcript (automated).pdf","Transcript Link")</f>
        <v>Transcript Link</v>
      </c>
    </row>
    <row r="1122" ht="180" spans="1:13">
      <c r="A1122" s="1" t="s">
        <v>5196</v>
      </c>
      <c r="B1122" s="1" t="s">
        <v>13</v>
      </c>
      <c r="C1122" s="4" t="s">
        <v>5201</v>
      </c>
      <c r="D1122" s="1" t="s">
        <v>5202</v>
      </c>
      <c r="E1122" s="1" t="s">
        <v>5203</v>
      </c>
      <c r="F1122" s="4" t="s">
        <v>17</v>
      </c>
      <c r="G1122" s="1" t="s">
        <v>18</v>
      </c>
      <c r="H1122" s="1" t="s">
        <v>19</v>
      </c>
      <c r="I1122" s="1" t="s">
        <v>20</v>
      </c>
      <c r="J1122" s="1" t="s">
        <v>5204</v>
      </c>
      <c r="K1122" s="1" t="s">
        <v>22</v>
      </c>
      <c r="L1122" s="1" t="str">
        <f>HYPERLINK("https://files.afu.se/Downloads/Transcripts/0%20-%20Government/USA%20-%20NASA%20Kennedy/2013 08 13 - NASA's Kennedy Space Center - Developing Partnerships, Launching Dreams at Kennedy_0gAlpL25Rn4 - transcript (automated).pdf","Transcript Link")</f>
        <v>Transcript Link</v>
      </c>
      <c r="M1122" s="2" t="str">
        <f>HYPERLINK("https://files.afu.se/Downloads/Transcripts/0%20-%20Government/USA%20-%20NASA%20Kennedy/2013 08 13 - NASA's Kennedy Space Center - Developing Partnerships, Launching Dreams at Kennedy_0gAlpL25Rn4 - transcript (automated).pdf","Transcript Link")</f>
        <v>Transcript Link</v>
      </c>
    </row>
    <row r="1123" ht="180" spans="1:13">
      <c r="A1123" s="1" t="s">
        <v>5205</v>
      </c>
      <c r="B1123" s="1" t="s">
        <v>13</v>
      </c>
      <c r="C1123" s="4" t="s">
        <v>5206</v>
      </c>
      <c r="D1123" s="1" t="s">
        <v>5207</v>
      </c>
      <c r="E1123" s="1" t="s">
        <v>5208</v>
      </c>
      <c r="F1123" s="4" t="s">
        <v>17</v>
      </c>
      <c r="G1123" s="1" t="s">
        <v>18</v>
      </c>
      <c r="H1123" s="1" t="s">
        <v>19</v>
      </c>
      <c r="I1123" s="1" t="s">
        <v>20</v>
      </c>
      <c r="J1123" s="1" t="s">
        <v>5209</v>
      </c>
      <c r="K1123" s="1" t="s">
        <v>22</v>
      </c>
      <c r="L1123" s="1" t="str">
        <f>HYPERLINK("https://files.afu.se/Downloads/Transcripts/0%20-%20Government/USA%20-%20NASA%20Kennedy/2013 07 31 - NASA's Kennedy Space Center - Engineers Test CST-100 Water Recovery Techniques_ESAwzJklEvM - transcript (automated).pdf","Transcript Link")</f>
        <v>Transcript Link</v>
      </c>
      <c r="M1123" s="2" t="str">
        <f>HYPERLINK("https://files.afu.se/Downloads/Transcripts/0%20-%20Government/USA%20-%20NASA%20Kennedy/2013 07 31 - NASA's Kennedy Space Center - Engineers Test CST-100 Water Recovery Techniques_ESAwzJklEvM - transcript (automated).pdf","Transcript Link")</f>
        <v>Transcript Link</v>
      </c>
    </row>
    <row r="1124" ht="409.5" spans="1:13">
      <c r="A1124" s="1" t="s">
        <v>5210</v>
      </c>
      <c r="B1124" s="1" t="s">
        <v>13</v>
      </c>
      <c r="C1124" s="4" t="s">
        <v>5211</v>
      </c>
      <c r="D1124" s="1" t="s">
        <v>5212</v>
      </c>
      <c r="E1124" s="1" t="s">
        <v>5213</v>
      </c>
      <c r="F1124" s="4" t="s">
        <v>17</v>
      </c>
      <c r="G1124" s="1" t="s">
        <v>18</v>
      </c>
      <c r="H1124" s="1" t="s">
        <v>19</v>
      </c>
      <c r="I1124" s="1" t="s">
        <v>20</v>
      </c>
      <c r="J1124" s="1" t="s">
        <v>5214</v>
      </c>
      <c r="K1124" s="1" t="s">
        <v>22</v>
      </c>
      <c r="L1124" s="1" t="str">
        <f>HYPERLINK("https://files.afu.se/Downloads/Transcripts/0%20-%20Government/USA%20-%20NASA%20Kennedy/2013 07 22 - NASA's Kennedy Space Center - Boeing's CST-100 Unveiled to the World_VdQfdKkr46U - transcript (automated).pdf","Transcript Link")</f>
        <v>Transcript Link</v>
      </c>
      <c r="M1124" s="2" t="str">
        <f>HYPERLINK("https://files.afu.se/Downloads/Transcripts/0%20-%20Government/USA%20-%20NASA%20Kennedy/2013 07 22 - NASA's Kennedy Space Center - Boeing's CST-100 Unveiled to the World_VdQfdKkr46U - transcript (automated).pdf","Transcript Link")</f>
        <v>Transcript Link</v>
      </c>
    </row>
    <row r="1125" ht="180" spans="1:13">
      <c r="A1125" s="1" t="s">
        <v>5215</v>
      </c>
      <c r="B1125" s="1" t="s">
        <v>13</v>
      </c>
      <c r="C1125" s="4" t="s">
        <v>5216</v>
      </c>
      <c r="D1125" s="1" t="s">
        <v>5217</v>
      </c>
      <c r="E1125" s="1" t="s">
        <v>5218</v>
      </c>
      <c r="F1125" s="4" t="s">
        <v>17</v>
      </c>
      <c r="G1125" s="1" t="s">
        <v>18</v>
      </c>
      <c r="H1125" s="1" t="s">
        <v>19</v>
      </c>
      <c r="I1125" s="1" t="s">
        <v>20</v>
      </c>
      <c r="J1125" s="1" t="s">
        <v>5219</v>
      </c>
      <c r="K1125" s="1" t="s">
        <v>22</v>
      </c>
      <c r="L1125" s="1" t="str">
        <f>HYPERLINK("https://files.afu.se/Downloads/Transcripts/0%20-%20Government/USA%20-%20NASA%20Kennedy/2013 07 12 - NASA's Kennedy Space Center - SNC's Dream Chaser Prepared For Testing_Om9rL4rpMDI - transcript (automated).pdf","Transcript Link")</f>
        <v>Transcript Link</v>
      </c>
      <c r="M1125" s="2" t="str">
        <f>HYPERLINK("https://files.afu.se/Downloads/Transcripts/0%20-%20Government/USA%20-%20NASA%20Kennedy/2013 07 12 - NASA's Kennedy Space Center - SNC's Dream Chaser Prepared For Testing_Om9rL4rpMDI - transcript (automated).pdf","Transcript Link")</f>
        <v>Transcript Link</v>
      </c>
    </row>
    <row r="1126" ht="210" spans="1:13">
      <c r="A1126" s="1" t="s">
        <v>5220</v>
      </c>
      <c r="B1126" s="1" t="s">
        <v>13</v>
      </c>
      <c r="C1126" s="4" t="s">
        <v>5221</v>
      </c>
      <c r="D1126" s="1" t="s">
        <v>5222</v>
      </c>
      <c r="E1126" s="1" t="s">
        <v>5223</v>
      </c>
      <c r="F1126" s="4" t="s">
        <v>17</v>
      </c>
      <c r="G1126" s="1" t="s">
        <v>18</v>
      </c>
      <c r="H1126" s="1" t="s">
        <v>19</v>
      </c>
      <c r="I1126" s="1" t="s">
        <v>20</v>
      </c>
      <c r="J1126" s="1" t="s">
        <v>5224</v>
      </c>
      <c r="K1126" s="1" t="s">
        <v>22</v>
      </c>
      <c r="L1126" s="1" t="str">
        <f>HYPERLINK("https://files.afu.se/Downloads/Transcripts/0%20-%20Government/USA%20-%20NASA%20Kennedy/2013 07 11 - NASA's Kennedy Space Center - Orion Sees Fit Check for Recovery Test__3rKiMdk7So - transcript (automated).pdf","Transcript Link")</f>
        <v>Transcript Link</v>
      </c>
      <c r="M1126" s="2" t="str">
        <f>HYPERLINK("https://files.afu.se/Downloads/Transcripts/0%20-%20Government/USA%20-%20NASA%20Kennedy/2013 07 11 - NASA's Kennedy Space Center - Orion Sees Fit Check for Recovery Test__3rKiMdk7So - transcript (automated).pdf","Transcript Link")</f>
        <v>Transcript Link</v>
      </c>
    </row>
    <row r="1127" ht="180" spans="1:13">
      <c r="A1127" s="1" t="s">
        <v>5225</v>
      </c>
      <c r="B1127" s="1" t="s">
        <v>13</v>
      </c>
      <c r="C1127" s="4" t="s">
        <v>5226</v>
      </c>
      <c r="D1127" s="1" t="s">
        <v>5227</v>
      </c>
      <c r="E1127" s="1" t="s">
        <v>5228</v>
      </c>
      <c r="F1127" s="4" t="s">
        <v>17</v>
      </c>
      <c r="G1127" s="1" t="s">
        <v>18</v>
      </c>
      <c r="H1127" s="1" t="s">
        <v>19</v>
      </c>
      <c r="I1127" s="1" t="s">
        <v>20</v>
      </c>
      <c r="J1127" s="1" t="s">
        <v>5229</v>
      </c>
      <c r="K1127" s="1" t="s">
        <v>22</v>
      </c>
      <c r="L1127" s="1" t="str">
        <f>HYPERLINK("https://files.afu.se/Downloads/Transcripts/0%20-%20Government/USA%20-%20NASA%20Kennedy/2013 07 10 - NASA's Kennedy Space Center - Kennedy Now! June 2013_3p_1jynTvbE - transcript (automated).pdf","Transcript Link")</f>
        <v>Transcript Link</v>
      </c>
      <c r="M1127" s="2" t="str">
        <f>HYPERLINK("https://files.afu.se/Downloads/Transcripts/0%20-%20Government/USA%20-%20NASA%20Kennedy/2013 07 10 - NASA's Kennedy Space Center - Kennedy Now! June 2013_3p_1jynTvbE - transcript (automated).pdf","Transcript Link")</f>
        <v>Transcript Link</v>
      </c>
    </row>
    <row r="1128" ht="180" spans="1:13">
      <c r="A1128" s="1" t="s">
        <v>5230</v>
      </c>
      <c r="B1128" s="1" t="s">
        <v>13</v>
      </c>
      <c r="C1128" s="4" t="s">
        <v>5231</v>
      </c>
      <c r="D1128" s="1" t="s">
        <v>5232</v>
      </c>
      <c r="E1128" s="1" t="s">
        <v>5233</v>
      </c>
      <c r="F1128" s="4" t="s">
        <v>17</v>
      </c>
      <c r="G1128" s="1" t="s">
        <v>18</v>
      </c>
      <c r="H1128" s="1" t="s">
        <v>19</v>
      </c>
      <c r="I1128" s="1" t="s">
        <v>20</v>
      </c>
      <c r="J1128" s="1" t="s">
        <v>5234</v>
      </c>
      <c r="K1128" s="1" t="s">
        <v>22</v>
      </c>
      <c r="L1128" s="1" t="str">
        <f>HYPERLINK("https://files.afu.se/Downloads/Transcripts/0%20-%20Government/USA%20-%20NASA%20Kennedy/2013 07 03 - NASA's Kennedy Space Center - Commercial Crew Program Trailer Teaser_2v1j4-GqXk4 - transcript (automated).pdf","Transcript Link")</f>
        <v>Transcript Link</v>
      </c>
      <c r="M1128" s="2" t="str">
        <f>HYPERLINK("https://files.afu.se/Downloads/Transcripts/0%20-%20Government/USA%20-%20NASA%20Kennedy/2013 07 03 - NASA's Kennedy Space Center - Commercial Crew Program Trailer Teaser_2v1j4-GqXk4 - transcript (automated).pdf","Transcript Link")</f>
        <v>Transcript Link</v>
      </c>
    </row>
    <row r="1129" ht="180" spans="1:13">
      <c r="A1129" s="1" t="s">
        <v>5235</v>
      </c>
      <c r="B1129" s="1" t="s">
        <v>13</v>
      </c>
      <c r="C1129" s="4" t="s">
        <v>5236</v>
      </c>
      <c r="D1129" s="1" t="s">
        <v>5237</v>
      </c>
      <c r="E1129" s="1" t="s">
        <v>5238</v>
      </c>
      <c r="F1129" s="4" t="s">
        <v>17</v>
      </c>
      <c r="G1129" s="1" t="s">
        <v>18</v>
      </c>
      <c r="H1129" s="1" t="s">
        <v>19</v>
      </c>
      <c r="I1129" s="1" t="s">
        <v>20</v>
      </c>
      <c r="J1129" s="1" t="s">
        <v>5239</v>
      </c>
      <c r="K1129" s="1" t="s">
        <v>22</v>
      </c>
      <c r="L1129" s="1" t="str">
        <f>HYPERLINK("https://files.afu.se/Downloads/Transcripts/0%20-%20Government/USA%20-%20NASA%20Kennedy/2013 06 28 - NASA's Kennedy Space Center - Launch Manager Discusses Launch_XeWqhj_m3Is - transcript (automated).pdf","Transcript Link")</f>
        <v>Transcript Link</v>
      </c>
      <c r="M1129" s="2" t="str">
        <f>HYPERLINK("https://files.afu.se/Downloads/Transcripts/0%20-%20Government/USA%20-%20NASA%20Kennedy/2013 06 28 - NASA's Kennedy Space Center - Launch Manager Discusses Launch_XeWqhj_m3Is - transcript (automated).pdf","Transcript Link")</f>
        <v>Transcript Link</v>
      </c>
    </row>
    <row r="1130" ht="180" spans="1:13">
      <c r="A1130" s="1" t="s">
        <v>5235</v>
      </c>
      <c r="B1130" s="1" t="s">
        <v>13</v>
      </c>
      <c r="C1130" s="4" t="s">
        <v>5240</v>
      </c>
      <c r="D1130" s="1" t="s">
        <v>5241</v>
      </c>
      <c r="E1130" s="1" t="s">
        <v>5242</v>
      </c>
      <c r="F1130" s="4" t="s">
        <v>17</v>
      </c>
      <c r="G1130" s="1" t="s">
        <v>18</v>
      </c>
      <c r="H1130" s="1" t="s">
        <v>19</v>
      </c>
      <c r="I1130" s="1" t="s">
        <v>20</v>
      </c>
      <c r="J1130" s="1" t="s">
        <v>5243</v>
      </c>
      <c r="K1130" s="1" t="s">
        <v>22</v>
      </c>
      <c r="L1130" s="1" t="str">
        <f>HYPERLINK("https://files.afu.se/Downloads/Transcripts/0%20-%20Government/USA%20-%20NASA%20Kennedy/2013 06 28 - NASA's Kennedy Space Center - Pegasus Carrying IRIS is Launched_OHHnud-RRx4 - transcript (automated).pdf","Transcript Link")</f>
        <v>Transcript Link</v>
      </c>
      <c r="M1130" s="2" t="str">
        <f>HYPERLINK("https://files.afu.se/Downloads/Transcripts/0%20-%20Government/USA%20-%20NASA%20Kennedy/2013 06 28 - NASA's Kennedy Space Center - Pegasus Carrying IRIS is Launched_OHHnud-RRx4 - transcript (automated).pdf","Transcript Link")</f>
        <v>Transcript Link</v>
      </c>
    </row>
    <row r="1131" ht="180" spans="1:13">
      <c r="A1131" s="1" t="s">
        <v>5235</v>
      </c>
      <c r="B1131" s="1" t="s">
        <v>13</v>
      </c>
      <c r="C1131" s="4" t="s">
        <v>5244</v>
      </c>
      <c r="D1131" s="1" t="s">
        <v>5245</v>
      </c>
      <c r="E1131" s="1" t="s">
        <v>5246</v>
      </c>
      <c r="F1131" s="4" t="s">
        <v>17</v>
      </c>
      <c r="G1131" s="1" t="s">
        <v>18</v>
      </c>
      <c r="H1131" s="1" t="s">
        <v>19</v>
      </c>
      <c r="I1131" s="1" t="s">
        <v>20</v>
      </c>
      <c r="J1131" s="1" t="s">
        <v>5247</v>
      </c>
      <c r="K1131" s="1" t="s">
        <v>22</v>
      </c>
      <c r="L1131" s="1" t="str">
        <f>HYPERLINK("https://files.afu.se/Downloads/Transcripts/0%20-%20Government/USA%20-%20NASA%20Kennedy/2013 06 28 - NASA's Kennedy Space Center - IRIS and Pegasus Prepared for Launch_ICW_hqeH648 - transcript (automated).pdf","Transcript Link")</f>
        <v>Transcript Link</v>
      </c>
      <c r="M1131" s="2" t="str">
        <f>HYPERLINK("https://files.afu.se/Downloads/Transcripts/0%20-%20Government/USA%20-%20NASA%20Kennedy/2013 06 28 - NASA's Kennedy Space Center - IRIS and Pegasus Prepared for Launch_ICW_hqeH648 - transcript (automated).pdf","Transcript Link")</f>
        <v>Transcript Link</v>
      </c>
    </row>
    <row r="1132" ht="180" spans="1:13">
      <c r="A1132" s="1" t="s">
        <v>5235</v>
      </c>
      <c r="B1132" s="1" t="s">
        <v>13</v>
      </c>
      <c r="C1132" s="4" t="s">
        <v>5248</v>
      </c>
      <c r="D1132" s="1" t="s">
        <v>5249</v>
      </c>
      <c r="E1132" s="1" t="s">
        <v>5250</v>
      </c>
      <c r="F1132" s="4" t="s">
        <v>17</v>
      </c>
      <c r="G1132" s="1" t="s">
        <v>18</v>
      </c>
      <c r="H1132" s="1" t="s">
        <v>19</v>
      </c>
      <c r="I1132" s="1" t="s">
        <v>20</v>
      </c>
      <c r="J1132" s="1" t="s">
        <v>5251</v>
      </c>
      <c r="K1132" s="1" t="s">
        <v>22</v>
      </c>
      <c r="L1132" s="1" t="str">
        <f>HYPERLINK("https://files.afu.se/Downloads/Transcripts/0%20-%20Government/USA%20-%20NASA%20Kennedy/2013 06 28 - NASA's Kennedy Space Center - IRIS Separates and Deploys Array_L5rcaML4m5I - transcript (automated).pdf","Transcript Link")</f>
        <v>Transcript Link</v>
      </c>
      <c r="M1132" s="2" t="str">
        <f>HYPERLINK("https://files.afu.se/Downloads/Transcripts/0%20-%20Government/USA%20-%20NASA%20Kennedy/2013 06 28 - NASA's Kennedy Space Center - IRIS Separates and Deploys Array_L5rcaML4m5I - transcript (automated).pdf","Transcript Link")</f>
        <v>Transcript Link</v>
      </c>
    </row>
    <row r="1133" ht="180" spans="1:13">
      <c r="A1133" s="1" t="s">
        <v>5235</v>
      </c>
      <c r="B1133" s="1" t="s">
        <v>13</v>
      </c>
      <c r="C1133" s="4" t="s">
        <v>5252</v>
      </c>
      <c r="D1133" s="1" t="s">
        <v>5253</v>
      </c>
      <c r="E1133" s="1" t="s">
        <v>5254</v>
      </c>
      <c r="F1133" s="4" t="s">
        <v>17</v>
      </c>
      <c r="G1133" s="1" t="s">
        <v>18</v>
      </c>
      <c r="H1133" s="1" t="s">
        <v>19</v>
      </c>
      <c r="I1133" s="1" t="s">
        <v>20</v>
      </c>
      <c r="J1133" s="1" t="s">
        <v>5255</v>
      </c>
      <c r="K1133" s="1" t="s">
        <v>22</v>
      </c>
      <c r="L1133" s="1" t="str">
        <f>HYPERLINK("https://files.afu.se/Downloads/Transcripts/0%20-%20Government/USA%20-%20NASA%20Kennedy/2013 06 28 - NASA's Kennedy Space Center - Launch Managers Verify IRIS is Ready to Launch_HAPh6dazf78 - transcript (automated).pdf","Transcript Link")</f>
        <v>Transcript Link</v>
      </c>
      <c r="M1133" s="2" t="str">
        <f>HYPERLINK("https://files.afu.se/Downloads/Transcripts/0%20-%20Government/USA%20-%20NASA%20Kennedy/2013 06 28 - NASA's Kennedy Space Center - Launch Managers Verify IRIS is Ready to Launch_HAPh6dazf78 - transcript (automated).pdf","Transcript Link")</f>
        <v>Transcript Link</v>
      </c>
    </row>
    <row r="1134" ht="180" spans="1:13">
      <c r="A1134" s="1" t="s">
        <v>5235</v>
      </c>
      <c r="B1134" s="1" t="s">
        <v>13</v>
      </c>
      <c r="C1134" s="4" t="s">
        <v>5256</v>
      </c>
      <c r="D1134" s="1" t="s">
        <v>5257</v>
      </c>
      <c r="E1134" s="1" t="s">
        <v>5258</v>
      </c>
      <c r="F1134" s="4" t="s">
        <v>17</v>
      </c>
      <c r="G1134" s="1" t="s">
        <v>18</v>
      </c>
      <c r="H1134" s="1" t="s">
        <v>19</v>
      </c>
      <c r="I1134" s="1" t="s">
        <v>20</v>
      </c>
      <c r="J1134" s="1" t="s">
        <v>5259</v>
      </c>
      <c r="K1134" s="1" t="s">
        <v>22</v>
      </c>
      <c r="L1134" s="1" t="str">
        <f>HYPERLINK("https://files.afu.se/Downloads/Transcripts/0%20-%20Government/USA%20-%20NASA%20Kennedy/2013 06 28 - NASA's Kennedy Space Center - Stargazer Airborne_Aox2R9GElWw - transcript (automated).pdf","Transcript Link")</f>
        <v>Transcript Link</v>
      </c>
      <c r="M1134" s="2" t="str">
        <f>HYPERLINK("https://files.afu.se/Downloads/Transcripts/0%20-%20Government/USA%20-%20NASA%20Kennedy/2013 06 28 - NASA's Kennedy Space Center - Stargazer Airborne_Aox2R9GElWw - transcript (automated).pdf","Transcript Link")</f>
        <v>Transcript Link</v>
      </c>
    </row>
    <row r="1135" ht="180" spans="1:13">
      <c r="A1135" s="1" t="s">
        <v>5235</v>
      </c>
      <c r="B1135" s="1" t="s">
        <v>13</v>
      </c>
      <c r="C1135" s="4" t="s">
        <v>5260</v>
      </c>
      <c r="D1135" s="1" t="s">
        <v>5261</v>
      </c>
      <c r="E1135" s="1" t="s">
        <v>5262</v>
      </c>
      <c r="F1135" s="4" t="s">
        <v>17</v>
      </c>
      <c r="G1135" s="1" t="s">
        <v>18</v>
      </c>
      <c r="H1135" s="1" t="s">
        <v>19</v>
      </c>
      <c r="I1135" s="1" t="s">
        <v>20</v>
      </c>
      <c r="J1135" s="1" t="s">
        <v>5263</v>
      </c>
      <c r="K1135" s="1" t="s">
        <v>22</v>
      </c>
      <c r="L1135" s="1" t="str">
        <f>HYPERLINK("https://files.afu.se/Downloads/Transcripts/0%20-%20Government/USA%20-%20NASA%20Kennedy/2013 06 28 - NASA's Kennedy Space Center - Welcome to IRIS Launch Coverage_FIdXBP1495Y - transcript (automated).pdf","Transcript Link")</f>
        <v>Transcript Link</v>
      </c>
      <c r="M1135" s="2" t="str">
        <f>HYPERLINK("https://files.afu.se/Downloads/Transcripts/0%20-%20Government/USA%20-%20NASA%20Kennedy/2013 06 28 - NASA's Kennedy Space Center - Welcome to IRIS Launch Coverage_FIdXBP1495Y - transcript (automated).pdf","Transcript Link")</f>
        <v>Transcript Link</v>
      </c>
    </row>
    <row r="1136" ht="180" spans="1:13">
      <c r="A1136" s="1" t="s">
        <v>5264</v>
      </c>
      <c r="B1136" s="1" t="s">
        <v>13</v>
      </c>
      <c r="C1136" s="4" t="s">
        <v>5265</v>
      </c>
      <c r="D1136" s="1" t="s">
        <v>5266</v>
      </c>
      <c r="E1136" s="1" t="s">
        <v>5267</v>
      </c>
      <c r="F1136" s="4" t="s">
        <v>17</v>
      </c>
      <c r="G1136" s="1" t="s">
        <v>18</v>
      </c>
      <c r="H1136" s="1" t="s">
        <v>19</v>
      </c>
      <c r="I1136" s="1" t="s">
        <v>20</v>
      </c>
      <c r="J1136" s="1" t="s">
        <v>5268</v>
      </c>
      <c r="K1136" s="1" t="s">
        <v>22</v>
      </c>
      <c r="L1136" s="1" t="str">
        <f>HYPERLINK("https://files.afu.se/Downloads/Transcripts/0%20-%20Government/USA%20-%20NASA%20Kennedy/2013 06 27 - NASA's Kennedy Space Center - CCP Industry Partners Work Toward Space Station_4LVNVe2XeJs - transcript (automated).pdf","Transcript Link")</f>
        <v>Transcript Link</v>
      </c>
      <c r="M1136" s="2" t="str">
        <f>HYPERLINK("https://files.afu.se/Downloads/Transcripts/0%20-%20Government/USA%20-%20NASA%20Kennedy/2013 06 27 - NASA's Kennedy Space Center - CCP Industry Partners Work Toward Space Station_4LVNVe2XeJs - transcript (automated).pdf","Transcript Link")</f>
        <v>Transcript Link</v>
      </c>
    </row>
    <row r="1137" ht="180" spans="1:13">
      <c r="A1137" s="1" t="s">
        <v>5269</v>
      </c>
      <c r="B1137" s="1" t="s">
        <v>13</v>
      </c>
      <c r="C1137" s="4" t="s">
        <v>5270</v>
      </c>
      <c r="D1137" s="1" t="s">
        <v>5271</v>
      </c>
      <c r="E1137" s="1" t="s">
        <v>5272</v>
      </c>
      <c r="F1137" s="4" t="s">
        <v>17</v>
      </c>
      <c r="G1137" s="1" t="s">
        <v>18</v>
      </c>
      <c r="H1137" s="1" t="s">
        <v>19</v>
      </c>
      <c r="I1137" s="1" t="s">
        <v>20</v>
      </c>
      <c r="J1137" s="1" t="s">
        <v>5273</v>
      </c>
      <c r="K1137" s="1" t="s">
        <v>22</v>
      </c>
      <c r="L1137" s="1" t="str">
        <f>HYPERLINK("https://files.afu.se/Downloads/Transcripts/0%20-%20Government/USA%20-%20NASA%20Kennedy/2013 06 24 - NASA's Kennedy Space Center - IRIS Aims to Answer Solar Questions_7fEz6jvQmow - transcript (automated).pdf","Transcript Link")</f>
        <v>Transcript Link</v>
      </c>
      <c r="M1137" s="2" t="str">
        <f>HYPERLINK("https://files.afu.se/Downloads/Transcripts/0%20-%20Government/USA%20-%20NASA%20Kennedy/2013 06 24 - NASA's Kennedy Space Center - IRIS Aims to Answer Solar Questions_7fEz6jvQmow - transcript (automated).pdf","Transcript Link")</f>
        <v>Transcript Link</v>
      </c>
    </row>
    <row r="1138" ht="180" spans="1:13">
      <c r="A1138" s="1" t="s">
        <v>5274</v>
      </c>
      <c r="B1138" s="1" t="s">
        <v>13</v>
      </c>
      <c r="C1138" s="4" t="s">
        <v>5275</v>
      </c>
      <c r="D1138" s="1" t="s">
        <v>5276</v>
      </c>
      <c r="E1138" s="1" t="s">
        <v>5277</v>
      </c>
      <c r="F1138" s="4" t="s">
        <v>17</v>
      </c>
      <c r="G1138" s="1" t="s">
        <v>18</v>
      </c>
      <c r="H1138" s="1" t="s">
        <v>19</v>
      </c>
      <c r="I1138" s="1" t="s">
        <v>20</v>
      </c>
      <c r="J1138" s="1" t="s">
        <v>5278</v>
      </c>
      <c r="K1138" s="1" t="s">
        <v>22</v>
      </c>
      <c r="L1138" s="1" t="str">
        <f>HYPERLINK("https://files.afu.se/Downloads/Transcripts/0%20-%20Government/USA%20-%20NASA%20Kennedy/2013 06 18 - NASA's Kennedy Space Center - CubeSat Demo Flight Tests Technologies_FQb7RiVDxcM - transcript (automated).pdf","Transcript Link")</f>
        <v>Transcript Link</v>
      </c>
      <c r="M1138" s="2" t="str">
        <f>HYPERLINK("https://files.afu.se/Downloads/Transcripts/0%20-%20Government/USA%20-%20NASA%20Kennedy/2013 06 18 - NASA's Kennedy Space Center - CubeSat Demo Flight Tests Technologies_FQb7RiVDxcM - transcript (automated).pdf","Transcript Link")</f>
        <v>Transcript Link</v>
      </c>
    </row>
    <row r="1139" ht="180" spans="1:13">
      <c r="A1139" s="1" t="s">
        <v>5279</v>
      </c>
      <c r="B1139" s="1" t="s">
        <v>13</v>
      </c>
      <c r="C1139" s="4" t="s">
        <v>5280</v>
      </c>
      <c r="D1139" s="1" t="s">
        <v>5281</v>
      </c>
      <c r="E1139" s="1" t="s">
        <v>5282</v>
      </c>
      <c r="F1139" s="4" t="s">
        <v>17</v>
      </c>
      <c r="G1139" s="1" t="s">
        <v>18</v>
      </c>
      <c r="H1139" s="1" t="s">
        <v>19</v>
      </c>
      <c r="I1139" s="1" t="s">
        <v>20</v>
      </c>
      <c r="J1139" s="1" t="s">
        <v>5283</v>
      </c>
      <c r="K1139" s="1" t="s">
        <v>22</v>
      </c>
      <c r="L1139" s="1" t="str">
        <f>HYPERLINK("https://files.afu.se/Downloads/Transcripts/0%20-%20Government/USA%20-%20NASA%20Kennedy/2013 06 13 - NASA's Kennedy Space Center - CubeSats, Launcher to Test Satellite Innovations_w413YD4j-EI - transcript (automated).pdf","Transcript Link")</f>
        <v>Transcript Link</v>
      </c>
      <c r="M1139" s="2" t="str">
        <f>HYPERLINK("https://files.afu.se/Downloads/Transcripts/0%20-%20Government/USA%20-%20NASA%20Kennedy/2013 06 13 - NASA's Kennedy Space Center - CubeSats, Launcher to Test Satellite Innovations_w413YD4j-EI - transcript (automated).pdf","Transcript Link")</f>
        <v>Transcript Link</v>
      </c>
    </row>
    <row r="1140" ht="180" spans="1:13">
      <c r="A1140" s="1" t="s">
        <v>5284</v>
      </c>
      <c r="B1140" s="1" t="s">
        <v>13</v>
      </c>
      <c r="C1140" s="4" t="s">
        <v>5285</v>
      </c>
      <c r="D1140" s="1" t="s">
        <v>5286</v>
      </c>
      <c r="E1140" s="1" t="s">
        <v>5287</v>
      </c>
      <c r="F1140" s="4" t="s">
        <v>17</v>
      </c>
      <c r="G1140" s="1" t="s">
        <v>18</v>
      </c>
      <c r="H1140" s="1" t="s">
        <v>19</v>
      </c>
      <c r="I1140" s="1" t="s">
        <v>20</v>
      </c>
      <c r="J1140" s="1" t="s">
        <v>5288</v>
      </c>
      <c r="K1140" s="1" t="s">
        <v>22</v>
      </c>
      <c r="L1140" s="1" t="str">
        <f>HYPERLINK("https://files.afu.se/Downloads/Transcripts/0%20-%20Government/USA%20-%20NASA%20Kennedy/2013 06 06 - NASA's Kennedy Space Center - Mercury-Atlas 4_MEdGzcv0jN8 - transcript (automated).pdf","Transcript Link")</f>
        <v>Transcript Link</v>
      </c>
      <c r="M1140" s="2" t="str">
        <f>HYPERLINK("https://files.afu.se/Downloads/Transcripts/0%20-%20Government/USA%20-%20NASA%20Kennedy/2013 06 06 - NASA's Kennedy Space Center - Mercury-Atlas 4_MEdGzcv0jN8 - transcript (automated).pdf","Transcript Link")</f>
        <v>Transcript Link</v>
      </c>
    </row>
    <row r="1141" ht="180" spans="1:13">
      <c r="A1141" s="1" t="s">
        <v>5284</v>
      </c>
      <c r="B1141" s="1" t="s">
        <v>13</v>
      </c>
      <c r="C1141" s="4" t="s">
        <v>5289</v>
      </c>
      <c r="D1141" s="1" t="s">
        <v>5290</v>
      </c>
      <c r="E1141" s="1" t="s">
        <v>5291</v>
      </c>
      <c r="F1141" s="4" t="s">
        <v>17</v>
      </c>
      <c r="G1141" s="1" t="s">
        <v>18</v>
      </c>
      <c r="H1141" s="1" t="s">
        <v>19</v>
      </c>
      <c r="I1141" s="1" t="s">
        <v>20</v>
      </c>
      <c r="J1141" s="1" t="s">
        <v>5292</v>
      </c>
      <c r="K1141" s="1" t="s">
        <v>22</v>
      </c>
      <c r="L1141" s="1" t="str">
        <f>HYPERLINK("https://files.afu.se/Downloads/Transcripts/0%20-%20Government/USA%20-%20NASA%20Kennedy/2013 06 06 - NASA's Kennedy Space Center - Freedom 7_IKxQDkvyNb0 - transcript (automated).pdf","Transcript Link")</f>
        <v>Transcript Link</v>
      </c>
      <c r="M1141" s="2" t="str">
        <f>HYPERLINK("https://files.afu.se/Downloads/Transcripts/0%20-%20Government/USA%20-%20NASA%20Kennedy/2013 06 06 - NASA's Kennedy Space Center - Freedom 7_IKxQDkvyNb0 - transcript (automated).pdf","Transcript Link")</f>
        <v>Transcript Link</v>
      </c>
    </row>
    <row r="1142" ht="180" spans="1:13">
      <c r="A1142" s="1" t="s">
        <v>5284</v>
      </c>
      <c r="B1142" s="1" t="s">
        <v>13</v>
      </c>
      <c r="C1142" s="4" t="s">
        <v>5293</v>
      </c>
      <c r="D1142" s="1" t="s">
        <v>5294</v>
      </c>
      <c r="E1142" s="1" t="s">
        <v>5295</v>
      </c>
      <c r="F1142" s="4" t="s">
        <v>17</v>
      </c>
      <c r="G1142" s="1" t="s">
        <v>18</v>
      </c>
      <c r="H1142" s="1" t="s">
        <v>19</v>
      </c>
      <c r="I1142" s="1" t="s">
        <v>20</v>
      </c>
      <c r="J1142" s="1" t="s">
        <v>5296</v>
      </c>
      <c r="K1142" s="1" t="s">
        <v>22</v>
      </c>
      <c r="L1142" s="1" t="str">
        <f>HYPERLINK("https://files.afu.se/Downloads/Transcripts/0%20-%20Government/USA%20-%20NASA%20Kennedy/2013 06 06 - NASA's Kennedy Space Center - Friendship 7_zVCjX-EST3c - transcript (automated).pdf","Transcript Link")</f>
        <v>Transcript Link</v>
      </c>
      <c r="M1142" s="2" t="str">
        <f>HYPERLINK("https://files.afu.se/Downloads/Transcripts/0%20-%20Government/USA%20-%20NASA%20Kennedy/2013 06 06 - NASA's Kennedy Space Center - Friendship 7_zVCjX-EST3c - transcript (automated).pdf","Transcript Link")</f>
        <v>Transcript Link</v>
      </c>
    </row>
    <row r="1143" ht="180" spans="1:13">
      <c r="A1143" s="1" t="s">
        <v>5284</v>
      </c>
      <c r="B1143" s="1" t="s">
        <v>13</v>
      </c>
      <c r="C1143" s="4" t="s">
        <v>5297</v>
      </c>
      <c r="D1143" s="1" t="s">
        <v>5298</v>
      </c>
      <c r="E1143" s="1" t="s">
        <v>5299</v>
      </c>
      <c r="F1143" s="4" t="s">
        <v>17</v>
      </c>
      <c r="G1143" s="1" t="s">
        <v>18</v>
      </c>
      <c r="H1143" s="1" t="s">
        <v>19</v>
      </c>
      <c r="I1143" s="1" t="s">
        <v>20</v>
      </c>
      <c r="J1143" s="1" t="s">
        <v>5300</v>
      </c>
      <c r="K1143" s="1" t="s">
        <v>22</v>
      </c>
      <c r="L1143" s="1" t="str">
        <f>HYPERLINK("https://files.afu.se/Downloads/Transcripts/0%20-%20Government/USA%20-%20NASA%20Kennedy/2013 06 06 - NASA's Kennedy Space Center - Liberty Bell 7_Cgu3U6rqPqk - transcript (automated).pdf","Transcript Link")</f>
        <v>Transcript Link</v>
      </c>
      <c r="M1143" s="2" t="str">
        <f>HYPERLINK("https://files.afu.se/Downloads/Transcripts/0%20-%20Government/USA%20-%20NASA%20Kennedy/2013 06 06 - NASA's Kennedy Space Center - Liberty Bell 7_Cgu3U6rqPqk - transcript (automated).pdf","Transcript Link")</f>
        <v>Transcript Link</v>
      </c>
    </row>
    <row r="1144" ht="180" spans="1:13">
      <c r="A1144" s="1" t="s">
        <v>5284</v>
      </c>
      <c r="B1144" s="1" t="s">
        <v>13</v>
      </c>
      <c r="C1144" s="4" t="s">
        <v>5301</v>
      </c>
      <c r="D1144" s="1" t="s">
        <v>5302</v>
      </c>
      <c r="E1144" s="1" t="s">
        <v>5303</v>
      </c>
      <c r="F1144" s="4" t="s">
        <v>17</v>
      </c>
      <c r="G1144" s="1" t="s">
        <v>18</v>
      </c>
      <c r="H1144" s="1" t="s">
        <v>19</v>
      </c>
      <c r="I1144" s="1" t="s">
        <v>20</v>
      </c>
      <c r="J1144" s="1" t="s">
        <v>5304</v>
      </c>
      <c r="K1144" s="1" t="s">
        <v>22</v>
      </c>
      <c r="L1144" s="1" t="str">
        <f>HYPERLINK("https://files.afu.se/Downloads/Transcripts/0%20-%20Government/USA%20-%20NASA%20Kennedy/2013 06 06 - NASA's Kennedy Space Center - Kennedy NOW! May 2013_eI1vDxomga0 - transcript (automated).pdf","Transcript Link")</f>
        <v>Transcript Link</v>
      </c>
      <c r="M1144" s="2" t="str">
        <f>HYPERLINK("https://files.afu.se/Downloads/Transcripts/0%20-%20Government/USA%20-%20NASA%20Kennedy/2013 06 06 - NASA's Kennedy Space Center - Kennedy NOW! May 2013_eI1vDxomga0 - transcript (automated).pdf","Transcript Link")</f>
        <v>Transcript Link</v>
      </c>
    </row>
    <row r="1145" ht="180" spans="1:13">
      <c r="A1145" s="1" t="s">
        <v>5305</v>
      </c>
      <c r="B1145" s="1" t="s">
        <v>13</v>
      </c>
      <c r="C1145" s="4" t="s">
        <v>5306</v>
      </c>
      <c r="D1145" s="1" t="s">
        <v>5307</v>
      </c>
      <c r="E1145" s="1" t="s">
        <v>5308</v>
      </c>
      <c r="F1145" s="4" t="s">
        <v>17</v>
      </c>
      <c r="G1145" s="1" t="s">
        <v>18</v>
      </c>
      <c r="H1145" s="1" t="s">
        <v>19</v>
      </c>
      <c r="I1145" s="1" t="s">
        <v>20</v>
      </c>
      <c r="J1145" s="1" t="s">
        <v>5309</v>
      </c>
      <c r="K1145" s="1" t="s">
        <v>22</v>
      </c>
      <c r="L1145" s="1" t="str">
        <f>HYPERLINK("https://files.afu.se/Downloads/Transcripts/0%20-%20Government/USA%20-%20NASA%20Kennedy/2013 06 05 - NASA's Kennedy Space Center - NASA's Mercury Control Center at the Cape_2QPFhyyAv8Q - transcript (automated).pdf","Transcript Link")</f>
        <v>Transcript Link</v>
      </c>
      <c r="M1145" s="2" t="str">
        <f>HYPERLINK("https://files.afu.se/Downloads/Transcripts/0%20-%20Government/USA%20-%20NASA%20Kennedy/2013 06 05 - NASA's Kennedy Space Center - NASA's Mercury Control Center at the Cape_2QPFhyyAv8Q - transcript (automated).pdf","Transcript Link")</f>
        <v>Transcript Link</v>
      </c>
    </row>
    <row r="1146" ht="180" spans="1:13">
      <c r="A1146" s="1" t="s">
        <v>5310</v>
      </c>
      <c r="B1146" s="1" t="s">
        <v>13</v>
      </c>
      <c r="C1146" s="4" t="s">
        <v>5311</v>
      </c>
      <c r="D1146" s="1" t="s">
        <v>5312</v>
      </c>
      <c r="E1146" s="1" t="s">
        <v>5313</v>
      </c>
      <c r="F1146" s="4" t="s">
        <v>17</v>
      </c>
      <c r="G1146" s="1" t="s">
        <v>18</v>
      </c>
      <c r="H1146" s="1" t="s">
        <v>19</v>
      </c>
      <c r="I1146" s="1" t="s">
        <v>20</v>
      </c>
      <c r="J1146" s="1" t="s">
        <v>5314</v>
      </c>
      <c r="K1146" s="1" t="s">
        <v>22</v>
      </c>
      <c r="L1146" s="1" t="str">
        <f>HYPERLINK("https://files.afu.se/Downloads/Transcripts/0%20-%20Government/USA%20-%20NASA%20Kennedy/2013 05 28 - NASA's Kennedy Space Center - An Inside Look at SNC's Dream Chaser_DheVO2qwzsI - transcript (automated).pdf","Transcript Link")</f>
        <v>Transcript Link</v>
      </c>
      <c r="M1146" s="2" t="str">
        <f>HYPERLINK("https://files.afu.se/Downloads/Transcripts/0%20-%20Government/USA%20-%20NASA%20Kennedy/2013 05 28 - NASA's Kennedy Space Center - An Inside Look at SNC's Dream Chaser_DheVO2qwzsI - transcript (automated).pdf","Transcript Link")</f>
        <v>Transcript Link</v>
      </c>
    </row>
    <row r="1147" ht="180" spans="1:13">
      <c r="A1147" s="1" t="s">
        <v>5315</v>
      </c>
      <c r="B1147" s="1" t="s">
        <v>13</v>
      </c>
      <c r="C1147" s="4" t="s">
        <v>5316</v>
      </c>
      <c r="D1147" s="1" t="s">
        <v>5317</v>
      </c>
      <c r="E1147" s="1" t="s">
        <v>5318</v>
      </c>
      <c r="F1147" s="4" t="s">
        <v>17</v>
      </c>
      <c r="G1147" s="1" t="s">
        <v>18</v>
      </c>
      <c r="H1147" s="1" t="s">
        <v>19</v>
      </c>
      <c r="I1147" s="1" t="s">
        <v>20</v>
      </c>
      <c r="J1147" s="1" t="s">
        <v>5319</v>
      </c>
      <c r="K1147" s="1" t="s">
        <v>22</v>
      </c>
      <c r="L1147" s="1" t="str">
        <f>HYPERLINK("https://files.afu.se/Downloads/Transcripts/0%20-%20Government/USA%20-%20NASA%20Kennedy/2013 05 24 - NASA's Kennedy Space Center - Space Age Gateway to New Atlantis Attraction Takes Shape_L_j6KCwWbmw - transcript (automated).pdf","Transcript Link")</f>
        <v>Transcript Link</v>
      </c>
      <c r="M1147" s="2" t="str">
        <f>HYPERLINK("https://files.afu.se/Downloads/Transcripts/0%20-%20Government/USA%20-%20NASA%20Kennedy/2013 05 24 - NASA's Kennedy Space Center - Space Age Gateway to New Atlantis Attraction Takes Shape_L_j6KCwWbmw - transcript (automated).pdf","Transcript Link")</f>
        <v>Transcript Link</v>
      </c>
    </row>
    <row r="1148" ht="180" spans="1:13">
      <c r="A1148" s="1" t="s">
        <v>5315</v>
      </c>
      <c r="B1148" s="1" t="s">
        <v>13</v>
      </c>
      <c r="C1148" s="4" t="s">
        <v>5320</v>
      </c>
      <c r="D1148" s="1" t="s">
        <v>5321</v>
      </c>
      <c r="E1148" s="1" t="s">
        <v>5322</v>
      </c>
      <c r="F1148" s="4" t="s">
        <v>17</v>
      </c>
      <c r="G1148" s="1" t="s">
        <v>18</v>
      </c>
      <c r="H1148" s="1" t="s">
        <v>19</v>
      </c>
      <c r="I1148" s="1" t="s">
        <v>20</v>
      </c>
      <c r="J1148" s="1" t="s">
        <v>5323</v>
      </c>
      <c r="K1148" s="1" t="s">
        <v>22</v>
      </c>
      <c r="L1148" s="1" t="str">
        <f>HYPERLINK("https://files.afu.se/Downloads/Transcripts/0%20-%20Government/USA%20-%20NASA%20Kennedy/2013 05 24 - NASA's Kennedy Space Center - Successful Launch by Rocket U_kvG54NCdKNU - transcript (automated).pdf","Transcript Link")</f>
        <v>Transcript Link</v>
      </c>
      <c r="M1148" s="2" t="str">
        <f>HYPERLINK("https://files.afu.se/Downloads/Transcripts/0%20-%20Government/USA%20-%20NASA%20Kennedy/2013 05 24 - NASA's Kennedy Space Center - Successful Launch by Rocket U_kvG54NCdKNU - transcript (automated).pdf","Transcript Link")</f>
        <v>Transcript Link</v>
      </c>
    </row>
    <row r="1149" ht="180" spans="1:13">
      <c r="A1149" s="1" t="s">
        <v>5315</v>
      </c>
      <c r="B1149" s="1" t="s">
        <v>13</v>
      </c>
      <c r="C1149" s="4" t="s">
        <v>5324</v>
      </c>
      <c r="D1149" s="1" t="s">
        <v>5325</v>
      </c>
      <c r="E1149" s="1" t="s">
        <v>5326</v>
      </c>
      <c r="F1149" s="4" t="s">
        <v>17</v>
      </c>
      <c r="G1149" s="1" t="s">
        <v>18</v>
      </c>
      <c r="H1149" s="1" t="s">
        <v>19</v>
      </c>
      <c r="I1149" s="1" t="s">
        <v>20</v>
      </c>
      <c r="J1149" s="1" t="s">
        <v>5327</v>
      </c>
      <c r="K1149" s="1" t="s">
        <v>22</v>
      </c>
      <c r="L1149" s="1" t="str">
        <f>HYPERLINK("https://files.afu.se/Downloads/Transcripts/0%20-%20Government/USA%20-%20NASA%20Kennedy/2013 05 24 - NASA's Kennedy Space Center - NASA Administrator Flies Dream Chaser Simulator_hwFJUg0XcLw - transcript (automated).pdf","Transcript Link")</f>
        <v>Transcript Link</v>
      </c>
      <c r="M1149" s="2" t="str">
        <f>HYPERLINK("https://files.afu.se/Downloads/Transcripts/0%20-%20Government/USA%20-%20NASA%20Kennedy/2013 05 24 - NASA's Kennedy Space Center - NASA Administrator Flies Dream Chaser Simulator_hwFJUg0XcLw - transcript (automated).pdf","Transcript Link")</f>
        <v>Transcript Link</v>
      </c>
    </row>
    <row r="1150" ht="180" spans="1:13">
      <c r="A1150" s="1" t="s">
        <v>5328</v>
      </c>
      <c r="B1150" s="1" t="s">
        <v>13</v>
      </c>
      <c r="C1150" s="4" t="s">
        <v>5329</v>
      </c>
      <c r="D1150" s="1" t="s">
        <v>5330</v>
      </c>
      <c r="E1150" s="1" t="s">
        <v>5331</v>
      </c>
      <c r="F1150" s="4" t="s">
        <v>17</v>
      </c>
      <c r="G1150" s="1" t="s">
        <v>18</v>
      </c>
      <c r="H1150" s="1" t="s">
        <v>19</v>
      </c>
      <c r="I1150" s="1" t="s">
        <v>20</v>
      </c>
      <c r="J1150" s="1" t="s">
        <v>5332</v>
      </c>
      <c r="K1150" s="1" t="s">
        <v>22</v>
      </c>
      <c r="L1150" s="1" t="str">
        <f>HYPERLINK("https://files.afu.se/Downloads/Transcripts/0%20-%20Government/USA%20-%20NASA%20Kennedy/2013 05 17 - NASA's Kennedy Space Center - NASA Astronauts Fly Dream Chaser Simulations May 15-17_z9mXAAQyrdY - transcript (automated).pdf","Transcript Link")</f>
        <v>Transcript Link</v>
      </c>
      <c r="M1150" s="2" t="str">
        <f>HYPERLINK("https://files.afu.se/Downloads/Transcripts/0%20-%20Government/USA%20-%20NASA%20Kennedy/2013 05 17 - NASA's Kennedy Space Center - NASA Astronauts Fly Dream Chaser Simulations May 15-17_z9mXAAQyrdY - transcript (automated).pdf","Transcript Link")</f>
        <v>Transcript Link</v>
      </c>
    </row>
    <row r="1151" ht="180" spans="1:13">
      <c r="A1151" s="1" t="s">
        <v>5333</v>
      </c>
      <c r="B1151" s="1" t="s">
        <v>13</v>
      </c>
      <c r="C1151" s="4" t="s">
        <v>5334</v>
      </c>
      <c r="D1151" s="1" t="s">
        <v>5335</v>
      </c>
      <c r="E1151" s="1" t="s">
        <v>5336</v>
      </c>
      <c r="F1151" s="4" t="s">
        <v>17</v>
      </c>
      <c r="G1151" s="1" t="s">
        <v>18</v>
      </c>
      <c r="H1151" s="1" t="s">
        <v>19</v>
      </c>
      <c r="I1151" s="1" t="s">
        <v>20</v>
      </c>
      <c r="J1151" s="1" t="s">
        <v>5337</v>
      </c>
      <c r="K1151" s="1" t="s">
        <v>22</v>
      </c>
      <c r="L1151" s="1" t="str">
        <f>HYPERLINK("https://files.afu.se/Downloads/Transcripts/0%20-%20Government/USA%20-%20NASA%20Kennedy/2013 05 16 - NASA's Kennedy Space Center - NASA Dryden Welcomes SNC's Dream Chaser for Testing_IFAsWwKKLV0 - transcript (automated).pdf","Transcript Link")</f>
        <v>Transcript Link</v>
      </c>
      <c r="M1151" s="2" t="str">
        <f>HYPERLINK("https://files.afu.se/Downloads/Transcripts/0%20-%20Government/USA%20-%20NASA%20Kennedy/2013 05 16 - NASA's Kennedy Space Center - NASA Dryden Welcomes SNC's Dream Chaser for Testing_IFAsWwKKLV0 - transcript (automated).pdf","Transcript Link")</f>
        <v>Transcript Link</v>
      </c>
    </row>
    <row r="1152" ht="180" spans="1:13">
      <c r="A1152" s="1" t="s">
        <v>5338</v>
      </c>
      <c r="B1152" s="1" t="s">
        <v>13</v>
      </c>
      <c r="C1152" s="4" t="s">
        <v>5339</v>
      </c>
      <c r="D1152" s="1" t="s">
        <v>5340</v>
      </c>
      <c r="E1152" s="1" t="s">
        <v>5341</v>
      </c>
      <c r="F1152" s="4" t="s">
        <v>17</v>
      </c>
      <c r="G1152" s="1" t="s">
        <v>18</v>
      </c>
      <c r="H1152" s="1" t="s">
        <v>19</v>
      </c>
      <c r="I1152" s="1" t="s">
        <v>20</v>
      </c>
      <c r="J1152" s="1" t="s">
        <v>5342</v>
      </c>
      <c r="K1152" s="1" t="s">
        <v>22</v>
      </c>
      <c r="L1152" s="1" t="str">
        <f>HYPERLINK("https://files.afu.se/Downloads/Transcripts/0%20-%20Government/USA%20-%20NASA%20Kennedy/2013 05 13 - NASA's Kennedy Space Center - Kennedy NOW!_ID1dllVR0a8 - transcript (automated).pdf","Transcript Link")</f>
        <v>Transcript Link</v>
      </c>
      <c r="M1152" s="2" t="str">
        <f>HYPERLINK("https://files.afu.se/Downloads/Transcripts/0%20-%20Government/USA%20-%20NASA%20Kennedy/2013 05 13 - NASA's Kennedy Space Center - Kennedy NOW!_ID1dllVR0a8 - transcript (automated).pdf","Transcript Link")</f>
        <v>Transcript Link</v>
      </c>
    </row>
    <row r="1153" ht="180" spans="1:13">
      <c r="A1153" s="1" t="s">
        <v>5343</v>
      </c>
      <c r="B1153" s="1" t="s">
        <v>13</v>
      </c>
      <c r="C1153" s="4" t="s">
        <v>5344</v>
      </c>
      <c r="D1153" s="1" t="s">
        <v>5345</v>
      </c>
      <c r="E1153" s="1" t="s">
        <v>5346</v>
      </c>
      <c r="F1153" s="4" t="s">
        <v>17</v>
      </c>
      <c r="G1153" s="1" t="s">
        <v>18</v>
      </c>
      <c r="H1153" s="1" t="s">
        <v>19</v>
      </c>
      <c r="I1153" s="1" t="s">
        <v>20</v>
      </c>
      <c r="J1153" s="1" t="s">
        <v>5347</v>
      </c>
      <c r="K1153" s="1" t="s">
        <v>22</v>
      </c>
      <c r="L1153" s="1" t="str">
        <f>HYPERLINK("https://files.afu.se/Downloads/Transcripts/0%20-%20Government/USA%20-%20NASA%20Kennedy/2013 05 03 - NASA's Kennedy Space Center - 2013 Space Apps Challenge_M3bgFvFF1I0 - transcript (automated).pdf","Transcript Link")</f>
        <v>Transcript Link</v>
      </c>
      <c r="M1153" s="2" t="str">
        <f>HYPERLINK("https://files.afu.se/Downloads/Transcripts/0%20-%20Government/USA%20-%20NASA%20Kennedy/2013 05 03 - NASA's Kennedy Space Center - 2013 Space Apps Challenge_M3bgFvFF1I0 - transcript (automated).pdf","Transcript Link")</f>
        <v>Transcript Link</v>
      </c>
    </row>
    <row r="1154" ht="180" spans="1:13">
      <c r="A1154" s="1" t="s">
        <v>5348</v>
      </c>
      <c r="B1154" s="1" t="s">
        <v>13</v>
      </c>
      <c r="C1154" s="4" t="s">
        <v>5349</v>
      </c>
      <c r="D1154" s="1" t="s">
        <v>5350</v>
      </c>
      <c r="E1154" s="1" t="s">
        <v>5351</v>
      </c>
      <c r="F1154" s="4" t="s">
        <v>17</v>
      </c>
      <c r="G1154" s="1" t="s">
        <v>18</v>
      </c>
      <c r="H1154" s="1" t="s">
        <v>19</v>
      </c>
      <c r="I1154" s="1" t="s">
        <v>20</v>
      </c>
      <c r="J1154" s="1" t="s">
        <v>5352</v>
      </c>
      <c r="K1154" s="1" t="s">
        <v>22</v>
      </c>
      <c r="L1154" s="1" t="str">
        <f>HYPERLINK("https://files.afu.se/Downloads/Transcripts/0%20-%20Government/USA%20-%20NASA%20Kennedy/2013 05 02 - NASA's Kennedy Space Center - Workers Take the Wraps Off Atlantis_kFpVGjiPW0w - transcript (automated).pdf","Transcript Link")</f>
        <v>Transcript Link</v>
      </c>
      <c r="M1154" s="2" t="str">
        <f>HYPERLINK("https://files.afu.se/Downloads/Transcripts/0%20-%20Government/USA%20-%20NASA%20Kennedy/2013 05 02 - NASA's Kennedy Space Center - Workers Take the Wraps Off Atlantis_kFpVGjiPW0w - transcript (automated).pdf","Transcript Link")</f>
        <v>Transcript Link</v>
      </c>
    </row>
    <row r="1155" ht="180" spans="1:13">
      <c r="A1155" s="1" t="s">
        <v>5353</v>
      </c>
      <c r="B1155" s="1" t="s">
        <v>13</v>
      </c>
      <c r="C1155" s="4" t="s">
        <v>5354</v>
      </c>
      <c r="D1155" s="1" t="s">
        <v>5355</v>
      </c>
      <c r="E1155" s="1" t="s">
        <v>5356</v>
      </c>
      <c r="F1155" s="4" t="s">
        <v>17</v>
      </c>
      <c r="G1155" s="1" t="s">
        <v>18</v>
      </c>
      <c r="H1155" s="1" t="s">
        <v>19</v>
      </c>
      <c r="I1155" s="1" t="s">
        <v>20</v>
      </c>
      <c r="J1155" s="1" t="s">
        <v>5357</v>
      </c>
      <c r="K1155" s="1" t="s">
        <v>22</v>
      </c>
      <c r="L1155" s="1" t="str">
        <f>HYPERLINK("https://files.afu.se/Downloads/Transcripts/0%20-%20Government/USA%20-%20NASA%20Kennedy/2013 04 26 - NASA's Kennedy Space Center - Hall Opens Doors to Astronaut Heroes_RE84QxbhACg - transcript (automated).pdf","Transcript Link")</f>
        <v>Transcript Link</v>
      </c>
      <c r="M1155" s="2" t="str">
        <f>HYPERLINK("https://files.afu.se/Downloads/Transcripts/0%20-%20Government/USA%20-%20NASA%20Kennedy/2013 04 26 - NASA's Kennedy Space Center - Hall Opens Doors to Astronaut Heroes_RE84QxbhACg - transcript (automated).pdf","Transcript Link")</f>
        <v>Transcript Link</v>
      </c>
    </row>
    <row r="1156" ht="180" spans="1:13">
      <c r="A1156" s="1" t="s">
        <v>5358</v>
      </c>
      <c r="B1156" s="1" t="s">
        <v>13</v>
      </c>
      <c r="C1156" s="4" t="s">
        <v>5359</v>
      </c>
      <c r="D1156" s="1" t="s">
        <v>5360</v>
      </c>
      <c r="E1156" s="1" t="s">
        <v>5361</v>
      </c>
      <c r="F1156" s="4" t="s">
        <v>17</v>
      </c>
      <c r="G1156" s="1" t="s">
        <v>18</v>
      </c>
      <c r="H1156" s="1" t="s">
        <v>19</v>
      </c>
      <c r="I1156" s="1" t="s">
        <v>20</v>
      </c>
      <c r="J1156" s="1" t="s">
        <v>5362</v>
      </c>
      <c r="K1156" s="1" t="s">
        <v>22</v>
      </c>
      <c r="L1156" s="1" t="str">
        <f>HYPERLINK("https://files.afu.se/Downloads/Transcripts/0%20-%20Government/USA%20-%20NASA%20Kennedy/2013 04 17 - NASA's Kennedy Space Center - NASA Shows Progress of President's Space Exploration Vision_CmLZbYA3JzY - transcript (automated).pdf","Transcript Link")</f>
        <v>Transcript Link</v>
      </c>
      <c r="M1156" s="2" t="str">
        <f>HYPERLINK("https://files.afu.se/Downloads/Transcripts/0%20-%20Government/USA%20-%20NASA%20Kennedy/2013 04 17 - NASA's Kennedy Space Center - NASA Shows Progress of President's Space Exploration Vision_CmLZbYA3JzY - transcript (automated).pdf","Transcript Link")</f>
        <v>Transcript Link</v>
      </c>
    </row>
    <row r="1157" ht="180" spans="1:13">
      <c r="A1157" s="1" t="s">
        <v>5363</v>
      </c>
      <c r="B1157" s="1" t="s">
        <v>13</v>
      </c>
      <c r="C1157" s="4" t="s">
        <v>5364</v>
      </c>
      <c r="D1157" s="1" t="s">
        <v>5340</v>
      </c>
      <c r="E1157" s="1" t="s">
        <v>5365</v>
      </c>
      <c r="F1157" s="4" t="s">
        <v>17</v>
      </c>
      <c r="G1157" s="1" t="s">
        <v>18</v>
      </c>
      <c r="H1157" s="1" t="s">
        <v>19</v>
      </c>
      <c r="I1157" s="1" t="s">
        <v>20</v>
      </c>
      <c r="J1157" s="1" t="s">
        <v>5366</v>
      </c>
      <c r="K1157" s="1" t="s">
        <v>22</v>
      </c>
      <c r="L1157" s="1" t="str">
        <f>HYPERLINK("https://files.afu.se/Downloads/Transcripts/0%20-%20Government/USA%20-%20NASA%20Kennedy/2013 04 04 - NASA's Kennedy Space Center - Kennedy NOW!_AI8IMeQXF-s - transcript (automated).pdf","Transcript Link")</f>
        <v>Transcript Link</v>
      </c>
      <c r="M1157" s="2" t="str">
        <f>HYPERLINK("https://files.afu.se/Downloads/Transcripts/0%20-%20Government/USA%20-%20NASA%20Kennedy/2013 04 04 - NASA's Kennedy Space Center - Kennedy NOW!_AI8IMeQXF-s - transcript (automated).pdf","Transcript Link")</f>
        <v>Transcript Link</v>
      </c>
    </row>
    <row r="1158" ht="180" spans="1:13">
      <c r="A1158" s="1" t="s">
        <v>5367</v>
      </c>
      <c r="B1158" s="1" t="s">
        <v>13</v>
      </c>
      <c r="C1158" s="4" t="s">
        <v>5368</v>
      </c>
      <c r="D1158" s="1" t="s">
        <v>5369</v>
      </c>
      <c r="E1158" s="1" t="s">
        <v>5370</v>
      </c>
      <c r="F1158" s="4" t="s">
        <v>17</v>
      </c>
      <c r="G1158" s="1" t="s">
        <v>18</v>
      </c>
      <c r="H1158" s="1" t="s">
        <v>19</v>
      </c>
      <c r="I1158" s="1" t="s">
        <v>20</v>
      </c>
      <c r="J1158" s="1" t="s">
        <v>5371</v>
      </c>
      <c r="K1158" s="1" t="s">
        <v>22</v>
      </c>
      <c r="L1158" s="1" t="str">
        <f>HYPERLINK("https://files.afu.se/Downloads/Transcripts/0%20-%20Government/USA%20-%20NASA%20Kennedy/2013 03 28 - NASA's Kennedy Space Center - Angry Birds Take Roost at Visitor Complex_MW3WbIid7PE - transcript (automated).pdf","Transcript Link")</f>
        <v>Transcript Link</v>
      </c>
      <c r="M1158" s="2" t="str">
        <f>HYPERLINK("https://files.afu.se/Downloads/Transcripts/0%20-%20Government/USA%20-%20NASA%20Kennedy/2013 03 28 - NASA's Kennedy Space Center - Angry Birds Take Roost at Visitor Complex_MW3WbIid7PE - transcript (automated).pdf","Transcript Link")</f>
        <v>Transcript Link</v>
      </c>
    </row>
    <row r="1159" ht="180" spans="1:13">
      <c r="A1159" s="1" t="s">
        <v>5372</v>
      </c>
      <c r="B1159" s="1" t="s">
        <v>13</v>
      </c>
      <c r="C1159" s="4" t="s">
        <v>5373</v>
      </c>
      <c r="D1159" s="1" t="s">
        <v>5374</v>
      </c>
      <c r="E1159" s="1" t="s">
        <v>5375</v>
      </c>
      <c r="F1159" s="4" t="s">
        <v>17</v>
      </c>
      <c r="G1159" s="1" t="s">
        <v>18</v>
      </c>
      <c r="H1159" s="1" t="s">
        <v>19</v>
      </c>
      <c r="I1159" s="1" t="s">
        <v>20</v>
      </c>
      <c r="J1159" s="1" t="s">
        <v>5376</v>
      </c>
      <c r="K1159" s="1" t="s">
        <v>22</v>
      </c>
      <c r="L1159" s="1" t="str">
        <f>HYPERLINK("https://files.afu.se/Downloads/Transcripts/0%20-%20Government/USA%20-%20NASA%20Kennedy/2013 03 22 - NASA's Kennedy Space Center - Angry Birds Space Encounter_udRjTDKPcH4 - transcript (automated).pdf","Transcript Link")</f>
        <v>Transcript Link</v>
      </c>
      <c r="M1159" s="2" t="str">
        <f>HYPERLINK("https://files.afu.se/Downloads/Transcripts/0%20-%20Government/USA%20-%20NASA%20Kennedy/2013 03 22 - NASA's Kennedy Space Center - Angry Birds Space Encounter_udRjTDKPcH4 - transcript (automated).pdf","Transcript Link")</f>
        <v>Transcript Link</v>
      </c>
    </row>
    <row r="1160" ht="180" spans="1:13">
      <c r="A1160" s="1" t="s">
        <v>5377</v>
      </c>
      <c r="B1160" s="1" t="s">
        <v>13</v>
      </c>
      <c r="C1160" s="4" t="s">
        <v>5378</v>
      </c>
      <c r="D1160" s="1" t="s">
        <v>5340</v>
      </c>
      <c r="E1160" s="1" t="s">
        <v>5379</v>
      </c>
      <c r="F1160" s="4" t="s">
        <v>17</v>
      </c>
      <c r="G1160" s="1" t="s">
        <v>18</v>
      </c>
      <c r="H1160" s="1" t="s">
        <v>19</v>
      </c>
      <c r="I1160" s="1" t="s">
        <v>20</v>
      </c>
      <c r="J1160" s="1" t="s">
        <v>5380</v>
      </c>
      <c r="K1160" s="1" t="s">
        <v>22</v>
      </c>
      <c r="L1160" s="1" t="str">
        <f>HYPERLINK("https://files.afu.se/Downloads/Transcripts/0%20-%20Government/USA%20-%20NASA%20Kennedy/2013 03 08 - NASA's Kennedy Space Center - Kennedy NOW!_Ifq57wDIYi0 - transcript (automated).pdf","Transcript Link")</f>
        <v>Transcript Link</v>
      </c>
      <c r="M1160" s="2" t="str">
        <f>HYPERLINK("https://files.afu.se/Downloads/Transcripts/0%20-%20Government/USA%20-%20NASA%20Kennedy/2013 03 08 - NASA's Kennedy Space Center - Kennedy NOW!_Ifq57wDIYi0 - transcript (automated).pdf","Transcript Link")</f>
        <v>Transcript Link</v>
      </c>
    </row>
    <row r="1161" ht="180" spans="1:13">
      <c r="A1161" s="1" t="s">
        <v>5381</v>
      </c>
      <c r="B1161" s="1" t="s">
        <v>13</v>
      </c>
      <c r="C1161" s="4" t="s">
        <v>5382</v>
      </c>
      <c r="D1161" s="1" t="s">
        <v>5383</v>
      </c>
      <c r="E1161" s="1" t="s">
        <v>5384</v>
      </c>
      <c r="F1161" s="4" t="s">
        <v>17</v>
      </c>
      <c r="G1161" s="1" t="s">
        <v>18</v>
      </c>
      <c r="H1161" s="1" t="s">
        <v>19</v>
      </c>
      <c r="I1161" s="1" t="s">
        <v>20</v>
      </c>
      <c r="J1161" s="1" t="s">
        <v>5385</v>
      </c>
      <c r="K1161" s="1" t="s">
        <v>22</v>
      </c>
      <c r="L1161" s="1" t="str">
        <f>HYPERLINK("https://files.afu.se/Downloads/Transcripts/0%20-%20Government/USA%20-%20NASA%20Kennedy/2013 03 01 - NASA's Kennedy Space Center - SpaceX-2  Liftoff of Falcon 9_n05BtbVNmX4 - transcript (automated).pdf","Transcript Link")</f>
        <v>Transcript Link</v>
      </c>
      <c r="M1161" s="2" t="str">
        <f>HYPERLINK("https://files.afu.se/Downloads/Transcripts/0%20-%20Government/USA%20-%20NASA%20Kennedy/2013 03 01 - NASA's Kennedy Space Center - SpaceX-2  Liftoff of Falcon 9_n05BtbVNmX4 - transcript (automated).pdf","Transcript Link")</f>
        <v>Transcript Link</v>
      </c>
    </row>
    <row r="1162" ht="180" spans="1:13">
      <c r="A1162" s="1" t="s">
        <v>5386</v>
      </c>
      <c r="B1162" s="1" t="s">
        <v>13</v>
      </c>
      <c r="C1162" s="4" t="s">
        <v>5387</v>
      </c>
      <c r="D1162" s="1" t="s">
        <v>5388</v>
      </c>
      <c r="E1162" s="1" t="s">
        <v>5389</v>
      </c>
      <c r="F1162" s="4" t="s">
        <v>17</v>
      </c>
      <c r="G1162" s="1" t="s">
        <v>18</v>
      </c>
      <c r="H1162" s="1" t="s">
        <v>19</v>
      </c>
      <c r="I1162" s="1" t="s">
        <v>20</v>
      </c>
      <c r="J1162" s="1" t="s">
        <v>5390</v>
      </c>
      <c r="K1162" s="1" t="s">
        <v>22</v>
      </c>
      <c r="L1162" s="1" t="str">
        <f>HYPERLINK("https://files.afu.se/Downloads/Transcripts/0%20-%20Government/USA%20-%20NASA%20Kennedy/2013 02 28 - NASA's Kennedy Space Center - Blue Origin Tests BE-3 Engine Thrust Chamber Assembly_rThMVXEIuRY - transcript (automated).pdf","Transcript Link")</f>
        <v>Transcript Link</v>
      </c>
      <c r="M1162" s="2" t="str">
        <f>HYPERLINK("https://files.afu.se/Downloads/Transcripts/0%20-%20Government/USA%20-%20NASA%20Kennedy/2013 02 28 - NASA's Kennedy Space Center - Blue Origin Tests BE-3 Engine Thrust Chamber Assembly_rThMVXEIuRY - transcript (automated).pdf","Transcript Link")</f>
        <v>Transcript Link</v>
      </c>
    </row>
    <row r="1163" ht="180" spans="1:13">
      <c r="A1163" s="1" t="s">
        <v>5391</v>
      </c>
      <c r="B1163" s="1" t="s">
        <v>13</v>
      </c>
      <c r="C1163" s="4" t="s">
        <v>5392</v>
      </c>
      <c r="D1163" s="1" t="s">
        <v>5393</v>
      </c>
      <c r="E1163" s="1" t="s">
        <v>5394</v>
      </c>
      <c r="F1163" s="4" t="s">
        <v>17</v>
      </c>
      <c r="G1163" s="1" t="s">
        <v>18</v>
      </c>
      <c r="H1163" s="1" t="s">
        <v>19</v>
      </c>
      <c r="I1163" s="1" t="s">
        <v>20</v>
      </c>
      <c r="J1163" s="1" t="s">
        <v>5395</v>
      </c>
      <c r="K1163" s="1" t="s">
        <v>22</v>
      </c>
      <c r="L1163" s="1" t="str">
        <f>HYPERLINK("https://files.afu.se/Downloads/Transcripts/0%20-%20Government/USA%20-%20NASA%20Kennedy/2013 02 26 - NASA's Kennedy Space Center - NASA Developing Mining Robot for Moon, Mars_YWiRuyhjEZ8 - transcript (automated).pdf","Transcript Link")</f>
        <v>Transcript Link</v>
      </c>
      <c r="M1163" s="2" t="str">
        <f>HYPERLINK("https://files.afu.se/Downloads/Transcripts/0%20-%20Government/USA%20-%20NASA%20Kennedy/2013 02 26 - NASA's Kennedy Space Center - NASA Developing Mining Robot for Moon, Mars_YWiRuyhjEZ8 - transcript (automated).pdf","Transcript Link")</f>
        <v>Transcript Link</v>
      </c>
    </row>
    <row r="1164" ht="180" spans="1:13">
      <c r="A1164" s="1" t="s">
        <v>5396</v>
      </c>
      <c r="B1164" s="1" t="s">
        <v>13</v>
      </c>
      <c r="C1164" s="4" t="s">
        <v>5397</v>
      </c>
      <c r="D1164" s="1" t="s">
        <v>5398</v>
      </c>
      <c r="E1164" s="1" t="s">
        <v>5399</v>
      </c>
      <c r="F1164" s="4" t="s">
        <v>17</v>
      </c>
      <c r="G1164" s="1" t="s">
        <v>18</v>
      </c>
      <c r="H1164" s="1" t="s">
        <v>19</v>
      </c>
      <c r="I1164" s="1" t="s">
        <v>20</v>
      </c>
      <c r="J1164" s="1" t="s">
        <v>5400</v>
      </c>
      <c r="K1164" s="1" t="s">
        <v>22</v>
      </c>
      <c r="L1164" s="1" t="str">
        <f>HYPERLINK("https://files.afu.se/Downloads/Transcripts/0%20-%20Government/USA%20-%20NASA%20Kennedy/2013 02 11 - NASA's Kennedy Space Center - Recap of a Successful Launch_WMIWIk57EUg - transcript (automated).pdf","Transcript Link")</f>
        <v>Transcript Link</v>
      </c>
      <c r="M1164" s="2" t="str">
        <f>HYPERLINK("https://files.afu.se/Downloads/Transcripts/0%20-%20Government/USA%20-%20NASA%20Kennedy/2013 02 11 - NASA's Kennedy Space Center - Recap of a Successful Launch_WMIWIk57EUg - transcript (automated).pdf","Transcript Link")</f>
        <v>Transcript Link</v>
      </c>
    </row>
    <row r="1165" ht="180" spans="1:13">
      <c r="A1165" s="1" t="s">
        <v>5396</v>
      </c>
      <c r="B1165" s="1" t="s">
        <v>13</v>
      </c>
      <c r="C1165" s="4" t="s">
        <v>5401</v>
      </c>
      <c r="D1165" s="1" t="s">
        <v>5402</v>
      </c>
      <c r="E1165" s="1" t="s">
        <v>5403</v>
      </c>
      <c r="F1165" s="4" t="s">
        <v>17</v>
      </c>
      <c r="G1165" s="1" t="s">
        <v>18</v>
      </c>
      <c r="H1165" s="1" t="s">
        <v>19</v>
      </c>
      <c r="I1165" s="1" t="s">
        <v>20</v>
      </c>
      <c r="J1165" s="1" t="s">
        <v>5404</v>
      </c>
      <c r="K1165" s="1" t="s">
        <v>22</v>
      </c>
      <c r="L1165" s="1" t="str">
        <f>HYPERLINK("https://files.afu.se/Downloads/Transcripts/0%20-%20Government/USA%20-%20NASA%20Kennedy/2013 02 11 - NASA's Kennedy Space Center - LDCM in Space_YhA1qAUP33s - transcript (automated).pdf","Transcript Link")</f>
        <v>Transcript Link</v>
      </c>
      <c r="M1165" s="2" t="str">
        <f>HYPERLINK("https://files.afu.se/Downloads/Transcripts/0%20-%20Government/USA%20-%20NASA%20Kennedy/2013 02 11 - NASA's Kennedy Space Center - LDCM in Space_YhA1qAUP33s - transcript (automated).pdf","Transcript Link")</f>
        <v>Transcript Link</v>
      </c>
    </row>
    <row r="1166" ht="180" spans="1:13">
      <c r="A1166" s="1" t="s">
        <v>5396</v>
      </c>
      <c r="B1166" s="1" t="s">
        <v>13</v>
      </c>
      <c r="C1166" s="4" t="s">
        <v>5405</v>
      </c>
      <c r="D1166" s="1" t="s">
        <v>5406</v>
      </c>
      <c r="E1166" s="1" t="s">
        <v>5407</v>
      </c>
      <c r="F1166" s="4" t="s">
        <v>17</v>
      </c>
      <c r="G1166" s="1" t="s">
        <v>18</v>
      </c>
      <c r="H1166" s="1" t="s">
        <v>19</v>
      </c>
      <c r="I1166" s="1" t="s">
        <v>20</v>
      </c>
      <c r="J1166" s="1" t="s">
        <v>5408</v>
      </c>
      <c r="K1166" s="1" t="s">
        <v>22</v>
      </c>
      <c r="L1166" s="1" t="str">
        <f>HYPERLINK("https://files.afu.se/Downloads/Transcripts/0%20-%20Government/USA%20-%20NASA%20Kennedy/2013 02 11 - NASA's Kennedy Space Center - Liftoff Atlas V_2pnqFHXoA1c - transcript (automated).pdf","Transcript Link")</f>
        <v>Transcript Link</v>
      </c>
      <c r="M1166" s="2" t="str">
        <f>HYPERLINK("https://files.afu.se/Downloads/Transcripts/0%20-%20Government/USA%20-%20NASA%20Kennedy/2013 02 11 - NASA's Kennedy Space Center - Liftoff Atlas V_2pnqFHXoA1c - transcript (automated).pdf","Transcript Link")</f>
        <v>Transcript Link</v>
      </c>
    </row>
    <row r="1167" ht="180" spans="1:13">
      <c r="A1167" s="1" t="s">
        <v>5396</v>
      </c>
      <c r="B1167" s="1" t="s">
        <v>13</v>
      </c>
      <c r="C1167" s="4" t="s">
        <v>5409</v>
      </c>
      <c r="D1167" s="1" t="s">
        <v>5410</v>
      </c>
      <c r="E1167" s="1" t="s">
        <v>5411</v>
      </c>
      <c r="F1167" s="4" t="s">
        <v>17</v>
      </c>
      <c r="G1167" s="1" t="s">
        <v>18</v>
      </c>
      <c r="H1167" s="1" t="s">
        <v>19</v>
      </c>
      <c r="I1167" s="1" t="s">
        <v>20</v>
      </c>
      <c r="J1167" s="1" t="s">
        <v>5412</v>
      </c>
      <c r="K1167" s="1" t="s">
        <v>22</v>
      </c>
      <c r="L1167" s="1" t="str">
        <f>HYPERLINK("https://files.afu.se/Downloads/Transcripts/0%20-%20Government/USA%20-%20NASA%20Kennedy/2013 02 11 - NASA's Kennedy Space Center - Ready for Launch_yzvnqh90LyQ - transcript (automated).pdf","Transcript Link")</f>
        <v>Transcript Link</v>
      </c>
      <c r="M1167" s="2" t="str">
        <f>HYPERLINK("https://files.afu.se/Downloads/Transcripts/0%20-%20Government/USA%20-%20NASA%20Kennedy/2013 02 11 - NASA's Kennedy Space Center - Ready for Launch_yzvnqh90LyQ - transcript (automated).pdf","Transcript Link")</f>
        <v>Transcript Link</v>
      </c>
    </row>
    <row r="1168" ht="180" spans="1:13">
      <c r="A1168" s="1" t="s">
        <v>5396</v>
      </c>
      <c r="B1168" s="1" t="s">
        <v>13</v>
      </c>
      <c r="C1168" s="4" t="s">
        <v>5413</v>
      </c>
      <c r="D1168" s="1" t="s">
        <v>5414</v>
      </c>
      <c r="E1168" s="1" t="s">
        <v>5415</v>
      </c>
      <c r="F1168" s="4" t="s">
        <v>17</v>
      </c>
      <c r="G1168" s="1" t="s">
        <v>18</v>
      </c>
      <c r="H1168" s="1" t="s">
        <v>19</v>
      </c>
      <c r="I1168" s="1" t="s">
        <v>20</v>
      </c>
      <c r="J1168" s="1" t="s">
        <v>5416</v>
      </c>
      <c r="K1168" s="1" t="s">
        <v>22</v>
      </c>
      <c r="L1168" s="1" t="str">
        <f>HYPERLINK("https://files.afu.se/Downloads/Transcripts/0%20-%20Government/USA%20-%20NASA%20Kennedy/2013 02 11 - NASA's Kennedy Space Center - Atlas V and LDCM are Readied for Launch_OsF7Nqe_4Cs - transcript (automated).pdf","Transcript Link")</f>
        <v>Transcript Link</v>
      </c>
      <c r="M1168" s="2" t="str">
        <f>HYPERLINK("https://files.afu.se/Downloads/Transcripts/0%20-%20Government/USA%20-%20NASA%20Kennedy/2013 02 11 - NASA's Kennedy Space Center - Atlas V and LDCM are Readied for Launch_OsF7Nqe_4Cs - transcript (automated).pdf","Transcript Link")</f>
        <v>Transcript Link</v>
      </c>
    </row>
    <row r="1169" ht="180" spans="1:13">
      <c r="A1169" s="1" t="s">
        <v>5396</v>
      </c>
      <c r="B1169" s="1" t="s">
        <v>13</v>
      </c>
      <c r="C1169" s="4" t="s">
        <v>5417</v>
      </c>
      <c r="D1169" s="1" t="s">
        <v>5418</v>
      </c>
      <c r="E1169" s="1" t="s">
        <v>5419</v>
      </c>
      <c r="F1169" s="4" t="s">
        <v>17</v>
      </c>
      <c r="G1169" s="1" t="s">
        <v>18</v>
      </c>
      <c r="H1169" s="1" t="s">
        <v>19</v>
      </c>
      <c r="I1169" s="1" t="s">
        <v>20</v>
      </c>
      <c r="J1169" s="1" t="s">
        <v>5420</v>
      </c>
      <c r="K1169" s="1" t="s">
        <v>22</v>
      </c>
      <c r="L1169" s="1" t="str">
        <f>HYPERLINK("https://files.afu.se/Downloads/Transcripts/0%20-%20Government/USA%20-%20NASA%20Kennedy/2013 02 11 - NASA's Kennedy Space Center - Countdown to LDCM Launch_whI1EVFWUZ8 - transcript (automated).pdf","Transcript Link")</f>
        <v>Transcript Link</v>
      </c>
      <c r="M1169" s="2" t="str">
        <f>HYPERLINK("https://files.afu.se/Downloads/Transcripts/0%20-%20Government/USA%20-%20NASA%20Kennedy/2013 02 11 - NASA's Kennedy Space Center - Countdown to LDCM Launch_whI1EVFWUZ8 - transcript (automated).pdf","Transcript Link")</f>
        <v>Transcript Link</v>
      </c>
    </row>
    <row r="1170" ht="180" spans="1:13">
      <c r="A1170" s="1" t="s">
        <v>5421</v>
      </c>
      <c r="B1170" s="1" t="s">
        <v>13</v>
      </c>
      <c r="C1170" s="4" t="s">
        <v>5422</v>
      </c>
      <c r="D1170" s="1" t="s">
        <v>5423</v>
      </c>
      <c r="E1170" s="1" t="s">
        <v>5424</v>
      </c>
      <c r="F1170" s="4" t="s">
        <v>17</v>
      </c>
      <c r="G1170" s="1" t="s">
        <v>18</v>
      </c>
      <c r="H1170" s="1" t="s">
        <v>19</v>
      </c>
      <c r="I1170" s="1" t="s">
        <v>20</v>
      </c>
      <c r="J1170" s="1" t="s">
        <v>5425</v>
      </c>
      <c r="K1170" s="1" t="s">
        <v>22</v>
      </c>
      <c r="L1170" s="1" t="str">
        <f>HYPERLINK("https://files.afu.se/Downloads/Transcripts/0%20-%20Government/USA%20-%20NASA%20Kennedy/2013 02 08 - NASA's Kennedy Space Center - LDCM  A New Era in Earth Observation_oqBFzVM0AyU - transcript (automated).pdf","Transcript Link")</f>
        <v>Transcript Link</v>
      </c>
      <c r="M1170" s="2" t="str">
        <f>HYPERLINK("https://files.afu.se/Downloads/Transcripts/0%20-%20Government/USA%20-%20NASA%20Kennedy/2013 02 08 - NASA's Kennedy Space Center - LDCM  A New Era in Earth Observation_oqBFzVM0AyU - transcript (automated).pdf","Transcript Link")</f>
        <v>Transcript Link</v>
      </c>
    </row>
    <row r="1171" ht="180" spans="1:13">
      <c r="A1171" s="1" t="s">
        <v>5426</v>
      </c>
      <c r="B1171" s="1" t="s">
        <v>13</v>
      </c>
      <c r="C1171" s="4" t="s">
        <v>5427</v>
      </c>
      <c r="D1171" s="1" t="s">
        <v>5428</v>
      </c>
      <c r="E1171" s="1" t="s">
        <v>5429</v>
      </c>
      <c r="F1171" s="4" t="s">
        <v>17</v>
      </c>
      <c r="G1171" s="1" t="s">
        <v>18</v>
      </c>
      <c r="H1171" s="1" t="s">
        <v>19</v>
      </c>
      <c r="I1171" s="1" t="s">
        <v>20</v>
      </c>
      <c r="J1171" s="1" t="s">
        <v>5430</v>
      </c>
      <c r="K1171" s="1" t="s">
        <v>22</v>
      </c>
      <c r="L1171" s="1" t="str">
        <f>HYPERLINK("https://files.afu.se/Downloads/Transcripts/0%20-%20Government/USA%20-%20NASA%20Kennedy/2013 01 31 - NASA's Kennedy Space Center - TDRS-K in Orbit_Z0JoWyz8ze8 - transcript (automated).pdf","Transcript Link")</f>
        <v>Transcript Link</v>
      </c>
      <c r="M1171" s="2" t="str">
        <f>HYPERLINK("https://files.afu.se/Downloads/Transcripts/0%20-%20Government/USA%20-%20NASA%20Kennedy/2013 01 31 - NASA's Kennedy Space Center - TDRS-K in Orbit_Z0JoWyz8ze8 - transcript (automated).pdf","Transcript Link")</f>
        <v>Transcript Link</v>
      </c>
    </row>
    <row r="1172" ht="180" spans="1:13">
      <c r="A1172" s="1" t="s">
        <v>5426</v>
      </c>
      <c r="B1172" s="1" t="s">
        <v>13</v>
      </c>
      <c r="C1172" s="4" t="s">
        <v>5431</v>
      </c>
      <c r="D1172" s="1" t="s">
        <v>5432</v>
      </c>
      <c r="E1172" s="1" t="s">
        <v>5433</v>
      </c>
      <c r="F1172" s="4" t="s">
        <v>17</v>
      </c>
      <c r="G1172" s="1" t="s">
        <v>18</v>
      </c>
      <c r="H1172" s="1" t="s">
        <v>19</v>
      </c>
      <c r="I1172" s="1" t="s">
        <v>20</v>
      </c>
      <c r="J1172" s="1" t="s">
        <v>5434</v>
      </c>
      <c r="K1172" s="1" t="s">
        <v>22</v>
      </c>
      <c r="L1172" s="1" t="str">
        <f>HYPERLINK("https://files.afu.se/Downloads/Transcripts/0%20-%20Government/USA%20-%20NASA%20Kennedy/2013 01 31 - NASA's Kennedy Space Center - Interview with NASA Launch Manager Tim Dunn_lF-N0e0kkdw - transcript (automated).pdf","Transcript Link")</f>
        <v>Transcript Link</v>
      </c>
      <c r="M1172" s="2" t="str">
        <f>HYPERLINK("https://files.afu.se/Downloads/Transcripts/0%20-%20Government/USA%20-%20NASA%20Kennedy/2013 01 31 - NASA's Kennedy Space Center - Interview with NASA Launch Manager Tim Dunn_lF-N0e0kkdw - transcript (automated).pdf","Transcript Link")</f>
        <v>Transcript Link</v>
      </c>
    </row>
    <row r="1173" ht="180" spans="1:13">
      <c r="A1173" s="1" t="s">
        <v>5426</v>
      </c>
      <c r="B1173" s="1" t="s">
        <v>13</v>
      </c>
      <c r="C1173" s="4" t="s">
        <v>5435</v>
      </c>
      <c r="D1173" s="1" t="s">
        <v>5436</v>
      </c>
      <c r="E1173" s="1" t="s">
        <v>5437</v>
      </c>
      <c r="F1173" s="4" t="s">
        <v>17</v>
      </c>
      <c r="G1173" s="1" t="s">
        <v>18</v>
      </c>
      <c r="H1173" s="1" t="s">
        <v>19</v>
      </c>
      <c r="I1173" s="1" t="s">
        <v>20</v>
      </c>
      <c r="J1173" s="1" t="s">
        <v>5438</v>
      </c>
      <c r="K1173" s="1" t="s">
        <v>22</v>
      </c>
      <c r="L1173" s="1" t="str">
        <f>HYPERLINK("https://files.afu.se/Downloads/Transcripts/0%20-%20Government/USA%20-%20NASA%20Kennedy/2013 01 31 - NASA's Kennedy Space Center - Close-up Views of TDRS-K Launch_FPaVOR5zCjE - transcript (automated).pdf","Transcript Link")</f>
        <v>Transcript Link</v>
      </c>
      <c r="M1173" s="2" t="str">
        <f>HYPERLINK("https://files.afu.se/Downloads/Transcripts/0%20-%20Government/USA%20-%20NASA%20Kennedy/2013 01 31 - NASA's Kennedy Space Center - Close-up Views of TDRS-K Launch_FPaVOR5zCjE - transcript (automated).pdf","Transcript Link")</f>
        <v>Transcript Link</v>
      </c>
    </row>
    <row r="1174" ht="180" spans="1:13">
      <c r="A1174" s="1" t="s">
        <v>5426</v>
      </c>
      <c r="B1174" s="1" t="s">
        <v>13</v>
      </c>
      <c r="C1174" s="4" t="s">
        <v>5439</v>
      </c>
      <c r="D1174" s="1" t="s">
        <v>5440</v>
      </c>
      <c r="E1174" s="1" t="s">
        <v>5441</v>
      </c>
      <c r="F1174" s="4" t="s">
        <v>17</v>
      </c>
      <c r="G1174" s="1" t="s">
        <v>18</v>
      </c>
      <c r="H1174" s="1" t="s">
        <v>19</v>
      </c>
      <c r="I1174" s="1" t="s">
        <v>20</v>
      </c>
      <c r="J1174" s="1" t="s">
        <v>5442</v>
      </c>
      <c r="K1174" s="1" t="s">
        <v>22</v>
      </c>
      <c r="L1174" s="1" t="str">
        <f>HYPERLINK("https://files.afu.se/Downloads/Transcripts/0%20-%20Government/USA%20-%20NASA%20Kennedy/2013 01 31 - NASA's Kennedy Space Center - Liftoff for TDRS-K_ZoPusN_O7qg - transcript (automated).pdf","Transcript Link")</f>
        <v>Transcript Link</v>
      </c>
      <c r="M1174" s="2" t="str">
        <f>HYPERLINK("https://files.afu.se/Downloads/Transcripts/0%20-%20Government/USA%20-%20NASA%20Kennedy/2013 01 31 - NASA's Kennedy Space Center - Liftoff for TDRS-K_ZoPusN_O7qg - transcript (automated).pdf","Transcript Link")</f>
        <v>Transcript Link</v>
      </c>
    </row>
    <row r="1175" ht="180" spans="1:13">
      <c r="A1175" s="1" t="s">
        <v>5426</v>
      </c>
      <c r="B1175" s="1" t="s">
        <v>13</v>
      </c>
      <c r="C1175" s="4" t="s">
        <v>5443</v>
      </c>
      <c r="D1175" s="1" t="s">
        <v>5444</v>
      </c>
      <c r="E1175" s="1" t="s">
        <v>5445</v>
      </c>
      <c r="F1175" s="4" t="s">
        <v>17</v>
      </c>
      <c r="G1175" s="1" t="s">
        <v>18</v>
      </c>
      <c r="H1175" s="1" t="s">
        <v>19</v>
      </c>
      <c r="I1175" s="1" t="s">
        <v>20</v>
      </c>
      <c r="J1175" s="1" t="s">
        <v>5446</v>
      </c>
      <c r="K1175" s="1" t="s">
        <v>22</v>
      </c>
      <c r="L1175" s="1" t="str">
        <f>HYPERLINK("https://files.afu.se/Downloads/Transcripts/0%20-%20Government/USA%20-%20NASA%20Kennedy/2013 01 31 - NASA's Kennedy Space Center - Atlas V is  Go  for Launch_YbP3upRGc9I - transcript (automated).pdf","Transcript Link")</f>
        <v>Transcript Link</v>
      </c>
      <c r="M1175" s="2" t="str">
        <f>HYPERLINK("https://files.afu.se/Downloads/Transcripts/0%20-%20Government/USA%20-%20NASA%20Kennedy/2013 01 31 - NASA's Kennedy Space Center - Atlas V is  Go  for Launch_YbP3upRGc9I - transcript (automated).pdf","Transcript Link")</f>
        <v>Transcript Link</v>
      </c>
    </row>
    <row r="1176" ht="180" spans="1:13">
      <c r="A1176" s="1" t="s">
        <v>5447</v>
      </c>
      <c r="B1176" s="1" t="s">
        <v>13</v>
      </c>
      <c r="C1176" s="4" t="s">
        <v>5448</v>
      </c>
      <c r="D1176" s="1" t="s">
        <v>5449</v>
      </c>
      <c r="E1176" s="1" t="s">
        <v>5450</v>
      </c>
      <c r="F1176" s="4" t="s">
        <v>17</v>
      </c>
      <c r="G1176" s="1" t="s">
        <v>18</v>
      </c>
      <c r="H1176" s="1" t="s">
        <v>19</v>
      </c>
      <c r="I1176" s="1" t="s">
        <v>20</v>
      </c>
      <c r="J1176" s="1" t="s">
        <v>5451</v>
      </c>
      <c r="K1176" s="1" t="s">
        <v>22</v>
      </c>
      <c r="L1176" s="1" t="str">
        <f>HYPERLINK("https://files.afu.se/Downloads/Transcripts/0%20-%20Government/USA%20-%20NASA%20Kennedy/2013 01 30 - NASA's Kennedy Space Center - Atlas V TDRS-K Launch Countdown_b0iAoJPEk_I - transcript (automated).pdf","Transcript Link")</f>
        <v>Transcript Link</v>
      </c>
      <c r="M1176" s="2" t="str">
        <f>HYPERLINK("https://files.afu.se/Downloads/Transcripts/0%20-%20Government/USA%20-%20NASA%20Kennedy/2013 01 30 - NASA's Kennedy Space Center - Atlas V TDRS-K Launch Countdown_b0iAoJPEk_I - transcript (automated).pdf","Transcript Link")</f>
        <v>Transcript Link</v>
      </c>
    </row>
    <row r="1177" ht="180" spans="1:13">
      <c r="A1177" s="1" t="s">
        <v>5452</v>
      </c>
      <c r="B1177" s="1" t="s">
        <v>13</v>
      </c>
      <c r="C1177" s="4" t="s">
        <v>5453</v>
      </c>
      <c r="D1177" s="1" t="s">
        <v>5454</v>
      </c>
      <c r="E1177" s="1" t="s">
        <v>5455</v>
      </c>
      <c r="F1177" s="4" t="s">
        <v>17</v>
      </c>
      <c r="G1177" s="1" t="s">
        <v>18</v>
      </c>
      <c r="H1177" s="1" t="s">
        <v>19</v>
      </c>
      <c r="I1177" s="1" t="s">
        <v>20</v>
      </c>
      <c r="J1177" s="1" t="s">
        <v>5456</v>
      </c>
      <c r="K1177" s="1" t="s">
        <v>22</v>
      </c>
      <c r="L1177" s="1" t="str">
        <f>HYPERLINK("https://files.afu.se/Downloads/Transcripts/0%20-%20Government/USA%20-%20NASA%20Kennedy/2013 01 28 - NASA's Kennedy Space Center - TDRS-K Ready for Flight_kaRGZkB9Sjc - transcript (automated).pdf","Transcript Link")</f>
        <v>Transcript Link</v>
      </c>
      <c r="M1177" s="2" t="str">
        <f>HYPERLINK("https://files.afu.se/Downloads/Transcripts/0%20-%20Government/USA%20-%20NASA%20Kennedy/2013 01 28 - NASA's Kennedy Space Center - TDRS-K Ready for Flight_kaRGZkB9Sjc - transcript (automated).pdf","Transcript Link")</f>
        <v>Transcript Link</v>
      </c>
    </row>
    <row r="1178" ht="180" spans="1:13">
      <c r="A1178" s="1" t="s">
        <v>5452</v>
      </c>
      <c r="B1178" s="1" t="s">
        <v>13</v>
      </c>
      <c r="C1178" s="4" t="s">
        <v>5457</v>
      </c>
      <c r="D1178" s="1" t="s">
        <v>5458</v>
      </c>
      <c r="E1178" s="1" t="s">
        <v>5459</v>
      </c>
      <c r="F1178" s="4" t="s">
        <v>17</v>
      </c>
      <c r="G1178" s="1" t="s">
        <v>18</v>
      </c>
      <c r="H1178" s="1" t="s">
        <v>19</v>
      </c>
      <c r="I1178" s="1" t="s">
        <v>20</v>
      </c>
      <c r="J1178" s="1" t="s">
        <v>5460</v>
      </c>
      <c r="K1178" s="1" t="s">
        <v>22</v>
      </c>
      <c r="L1178" s="1" t="str">
        <f>HYPERLINK("https://files.afu.se/Downloads/Transcripts/0%20-%20Government/USA%20-%20NASA%20Kennedy/2013 01 28 - NASA's Kennedy Space Center - TDRS-K to Add to Vital Space Network_zNSxl9UXkCU - transcript (automated).pdf","Transcript Link")</f>
        <v>Transcript Link</v>
      </c>
      <c r="M1178" s="2" t="str">
        <f>HYPERLINK("https://files.afu.se/Downloads/Transcripts/0%20-%20Government/USA%20-%20NASA%20Kennedy/2013 01 28 - NASA's Kennedy Space Center - TDRS-K to Add to Vital Space Network_zNSxl9UXkCU - transcript (automated).pdf","Transcript Link")</f>
        <v>Transcript Link</v>
      </c>
    </row>
    <row r="1179" ht="180" spans="1:13">
      <c r="A1179" s="1" t="s">
        <v>5461</v>
      </c>
      <c r="B1179" s="1" t="s">
        <v>13</v>
      </c>
      <c r="C1179" s="4" t="s">
        <v>5462</v>
      </c>
      <c r="D1179" s="1" t="s">
        <v>5463</v>
      </c>
      <c r="E1179" s="1" t="s">
        <v>5464</v>
      </c>
      <c r="F1179" s="4" t="s">
        <v>17</v>
      </c>
      <c r="G1179" s="1" t="s">
        <v>18</v>
      </c>
      <c r="H1179" s="1" t="s">
        <v>19</v>
      </c>
      <c r="I1179" s="1" t="s">
        <v>20</v>
      </c>
      <c r="J1179" s="1" t="s">
        <v>5465</v>
      </c>
      <c r="K1179" s="1" t="s">
        <v>22</v>
      </c>
      <c r="L1179" s="1" t="str">
        <f>HYPERLINK("https://files.afu.se/Downloads/Transcripts/0%20-%20Government/USA%20-%20NASA%20Kennedy/2013 01 25 - NASA's Kennedy Space Center - In Their Own Words  Tom Simon_-oFYGK2mrwY - transcript (automated).pdf","Transcript Link")</f>
        <v>Transcript Link</v>
      </c>
      <c r="M1179" s="2" t="str">
        <f>HYPERLINK("https://files.afu.se/Downloads/Transcripts/0%20-%20Government/USA%20-%20NASA%20Kennedy/2013 01 25 - NASA's Kennedy Space Center - In Their Own Words  Tom Simon_-oFYGK2mrwY - transcript (automated).pdf","Transcript Link")</f>
        <v>Transcript Link</v>
      </c>
    </row>
    <row r="1180" ht="180" spans="1:13">
      <c r="A1180" s="1" t="s">
        <v>5466</v>
      </c>
      <c r="B1180" s="1" t="s">
        <v>13</v>
      </c>
      <c r="C1180" s="4" t="s">
        <v>5467</v>
      </c>
      <c r="D1180" s="1" t="s">
        <v>5468</v>
      </c>
      <c r="E1180" s="1" t="s">
        <v>5469</v>
      </c>
      <c r="F1180" s="4" t="s">
        <v>17</v>
      </c>
      <c r="G1180" s="1" t="s">
        <v>18</v>
      </c>
      <c r="H1180" s="1" t="s">
        <v>19</v>
      </c>
      <c r="I1180" s="1" t="s">
        <v>20</v>
      </c>
      <c r="J1180" s="1" t="s">
        <v>5470</v>
      </c>
      <c r="K1180" s="1" t="s">
        <v>22</v>
      </c>
      <c r="L1180" s="1" t="str">
        <f>HYPERLINK("https://files.afu.se/Downloads/Transcripts/0%20-%20Government/USA%20-%20NASA%20Kennedy/2013 01 24 - NASA's Kennedy Space Center - Accelerating an American Ride to Low-Earth Orbit_IMUxyOUXL9o - transcript (automated).pdf","Transcript Link")</f>
        <v>Transcript Link</v>
      </c>
      <c r="M1180" s="2" t="str">
        <f>HYPERLINK("https://files.afu.se/Downloads/Transcripts/0%20-%20Government/USA%20-%20NASA%20Kennedy/2013 01 24 - NASA's Kennedy Space Center - Accelerating an American Ride to Low-Earth Orbit_IMUxyOUXL9o - transcript (automated).pdf","Transcript Link")</f>
        <v>Transcript Link</v>
      </c>
    </row>
    <row r="1181" ht="195" spans="1:13">
      <c r="A1181" s="1" t="s">
        <v>5471</v>
      </c>
      <c r="B1181" s="1" t="s">
        <v>13</v>
      </c>
      <c r="C1181" s="4" t="s">
        <v>5472</v>
      </c>
      <c r="D1181" s="1" t="s">
        <v>5473</v>
      </c>
      <c r="E1181" s="1" t="s">
        <v>5474</v>
      </c>
      <c r="F1181" s="4" t="s">
        <v>17</v>
      </c>
      <c r="G1181" s="1" t="s">
        <v>18</v>
      </c>
      <c r="H1181" s="1" t="s">
        <v>19</v>
      </c>
      <c r="I1181" s="1" t="s">
        <v>20</v>
      </c>
      <c r="J1181" s="1" t="s">
        <v>5475</v>
      </c>
      <c r="K1181" s="1" t="s">
        <v>22</v>
      </c>
      <c r="L1181" s="1" t="str">
        <f>HYPERLINK("https://files.afu.se/Downloads/Transcripts/0%20-%20Government/USA%20-%20NASA%20Kennedy/2012 12 21 - NASA's Kennedy Space Center - Removal of Legacy Hardware Leads to Modernization_Fo7PrNNmdkA - transcript (automated).pdf","Transcript Link")</f>
        <v>Transcript Link</v>
      </c>
      <c r="M1181" s="2" t="str">
        <f>HYPERLINK("https://files.afu.se/Downloads/Transcripts/0%20-%20Government/USA%20-%20NASA%20Kennedy/2012 12 21 - NASA's Kennedy Space Center - Removal of Legacy Hardware Leads to Modernization_Fo7PrNNmdkA - transcript (automated).pdf","Transcript Link")</f>
        <v>Transcript Link</v>
      </c>
    </row>
    <row r="1182" ht="180" spans="1:13">
      <c r="A1182" s="1" t="s">
        <v>5476</v>
      </c>
      <c r="B1182" s="1" t="s">
        <v>13</v>
      </c>
      <c r="C1182" s="4" t="s">
        <v>5477</v>
      </c>
      <c r="D1182" s="1" t="s">
        <v>5478</v>
      </c>
      <c r="E1182" s="1" t="s">
        <v>5479</v>
      </c>
      <c r="F1182" s="4" t="s">
        <v>17</v>
      </c>
      <c r="G1182" s="1" t="s">
        <v>18</v>
      </c>
      <c r="H1182" s="1" t="s">
        <v>19</v>
      </c>
      <c r="I1182" s="1" t="s">
        <v>20</v>
      </c>
      <c r="J1182" s="1" t="s">
        <v>5480</v>
      </c>
      <c r="K1182" s="1" t="s">
        <v>22</v>
      </c>
      <c r="L1182" s="1" t="str">
        <f>HYPERLINK("https://files.afu.se/Downloads/Transcripts/0%20-%20Government/USA%20-%20NASA%20Kennedy/2012 12 19 - NASA's Kennedy Space Center - NASA Train Upgraded in Shuttle-Era Facility_VybS9Smkuss - transcript (automated).pdf","Transcript Link")</f>
        <v>Transcript Link</v>
      </c>
      <c r="M1182" s="2" t="str">
        <f>HYPERLINK("https://files.afu.se/Downloads/Transcripts/0%20-%20Government/USA%20-%20NASA%20Kennedy/2012 12 19 - NASA's Kennedy Space Center - NASA Train Upgraded in Shuttle-Era Facility_VybS9Smkuss - transcript (automated).pdf","Transcript Link")</f>
        <v>Transcript Link</v>
      </c>
    </row>
    <row r="1183" ht="180" spans="1:13">
      <c r="A1183" s="1" t="s">
        <v>5481</v>
      </c>
      <c r="B1183" s="1" t="s">
        <v>13</v>
      </c>
      <c r="C1183" s="4" t="s">
        <v>5482</v>
      </c>
      <c r="D1183" s="1" t="s">
        <v>5483</v>
      </c>
      <c r="E1183" s="1" t="s">
        <v>5484</v>
      </c>
      <c r="F1183" s="4" t="s">
        <v>17</v>
      </c>
      <c r="G1183" s="1" t="s">
        <v>18</v>
      </c>
      <c r="H1183" s="1" t="s">
        <v>19</v>
      </c>
      <c r="I1183" s="1" t="s">
        <v>20</v>
      </c>
      <c r="J1183" s="1" t="s">
        <v>5485</v>
      </c>
      <c r="K1183" s="1" t="s">
        <v>22</v>
      </c>
      <c r="L1183" s="1" t="str">
        <f>HYPERLINK("https://files.afu.se/Downloads/Transcripts/0%20-%20Government/USA%20-%20NASA%20Kennedy/2012 11 30 - NASA's Kennedy Space Center - Next-Generation Space Ambitions Keep Rolling_A6kcw0zPf6E - transcript (automated).pdf","Transcript Link")</f>
        <v>Transcript Link</v>
      </c>
      <c r="M1183" s="2" t="str">
        <f>HYPERLINK("https://files.afu.se/Downloads/Transcripts/0%20-%20Government/USA%20-%20NASA%20Kennedy/2012 11 30 - NASA's Kennedy Space Center - Next-Generation Space Ambitions Keep Rolling_A6kcw0zPf6E - transcript (automated).pdf","Transcript Link")</f>
        <v>Transcript Link</v>
      </c>
    </row>
    <row r="1184" ht="180" spans="1:13">
      <c r="A1184" s="1" t="s">
        <v>5486</v>
      </c>
      <c r="B1184" s="1" t="s">
        <v>13</v>
      </c>
      <c r="C1184" s="4" t="s">
        <v>5487</v>
      </c>
      <c r="D1184" s="1" t="s">
        <v>5488</v>
      </c>
      <c r="E1184" s="1" t="s">
        <v>5489</v>
      </c>
      <c r="F1184" s="4" t="s">
        <v>17</v>
      </c>
      <c r="G1184" s="1" t="s">
        <v>18</v>
      </c>
      <c r="H1184" s="1" t="s">
        <v>19</v>
      </c>
      <c r="I1184" s="1" t="s">
        <v>20</v>
      </c>
      <c r="J1184" s="1" t="s">
        <v>5490</v>
      </c>
      <c r="K1184" s="1" t="s">
        <v>22</v>
      </c>
      <c r="L1184" s="1" t="str">
        <f>HYPERLINK("https://files.afu.se/Downloads/Transcripts/0%20-%20Government/USA%20-%20NASA%20Kennedy/2012 11 15 - NASA's Kennedy Space Center - Crawler-Transporter Time-Lapse_kKSC0J1ehFg - transcript (automated).pdf","Transcript Link")</f>
        <v>Transcript Link</v>
      </c>
      <c r="M1184" s="2" t="str">
        <f>HYPERLINK("https://files.afu.se/Downloads/Transcripts/0%20-%20Government/USA%20-%20NASA%20Kennedy/2012 11 15 - NASA's Kennedy Space Center - Crawler-Transporter Time-Lapse_kKSC0J1ehFg - transcript (automated).pdf","Transcript Link")</f>
        <v>Transcript Link</v>
      </c>
    </row>
    <row r="1185" ht="180" spans="1:13">
      <c r="A1185" s="1" t="s">
        <v>5491</v>
      </c>
      <c r="B1185" s="1" t="s">
        <v>13</v>
      </c>
      <c r="C1185" s="4" t="s">
        <v>5492</v>
      </c>
      <c r="D1185" s="1" t="s">
        <v>5493</v>
      </c>
      <c r="E1185" s="1" t="s">
        <v>5494</v>
      </c>
      <c r="F1185" s="4" t="s">
        <v>17</v>
      </c>
      <c r="G1185" s="1" t="s">
        <v>18</v>
      </c>
      <c r="H1185" s="1" t="s">
        <v>19</v>
      </c>
      <c r="I1185" s="1" t="s">
        <v>20</v>
      </c>
      <c r="J1185" s="1" t="s">
        <v>5495</v>
      </c>
      <c r="K1185" s="1" t="s">
        <v>22</v>
      </c>
      <c r="L1185" s="1" t="str">
        <f>HYPERLINK("https://files.afu.se/Downloads/Transcripts/0%20-%20Government/USA%20-%20NASA%20Kennedy/2012 11 13 - NASA's Kennedy Space Center - Kennedy Space Center  50 Years_tJpmh6N9-Xc - transcript (automated).pdf","Transcript Link")</f>
        <v>Transcript Link</v>
      </c>
      <c r="M1185" s="2" t="str">
        <f>HYPERLINK("https://files.afu.se/Downloads/Transcripts/0%20-%20Government/USA%20-%20NASA%20Kennedy/2012 11 13 - NASA's Kennedy Space Center - Kennedy Space Center  50 Years_tJpmh6N9-Xc - transcript (automated).pdf","Transcript Link")</f>
        <v>Transcript Link</v>
      </c>
    </row>
    <row r="1186" ht="180" spans="1:13">
      <c r="A1186" s="1" t="s">
        <v>5496</v>
      </c>
      <c r="B1186" s="1" t="s">
        <v>13</v>
      </c>
      <c r="C1186" s="4" t="s">
        <v>5497</v>
      </c>
      <c r="D1186" s="1" t="s">
        <v>5498</v>
      </c>
      <c r="E1186" s="1" t="s">
        <v>5499</v>
      </c>
      <c r="F1186" s="4" t="s">
        <v>17</v>
      </c>
      <c r="G1186" s="1" t="s">
        <v>18</v>
      </c>
      <c r="H1186" s="1" t="s">
        <v>19</v>
      </c>
      <c r="I1186" s="1" t="s">
        <v>20</v>
      </c>
      <c r="J1186" s="1" t="s">
        <v>5500</v>
      </c>
      <c r="K1186" s="1" t="s">
        <v>22</v>
      </c>
      <c r="L1186" s="1" t="str">
        <f>HYPERLINK("https://files.afu.se/Downloads/Transcripts/0%20-%20Government/USA%20-%20NASA%20Kennedy/2012 11 09 - NASA's Kennedy Space Center - Atlantis Time-Lapse Move to KSC Visitor Complex_1TZc8XOkUnU - transcript (automated).pdf","Transcript Link")</f>
        <v>Transcript Link</v>
      </c>
      <c r="M1186" s="2" t="str">
        <f>HYPERLINK("https://files.afu.se/Downloads/Transcripts/0%20-%20Government/USA%20-%20NASA%20Kennedy/2012 11 09 - NASA's Kennedy Space Center - Atlantis Time-Lapse Move to KSC Visitor Complex_1TZc8XOkUnU - transcript (automated).pdf","Transcript Link")</f>
        <v>Transcript Link</v>
      </c>
    </row>
    <row r="1187" ht="180" spans="1:13">
      <c r="A1187" s="1" t="s">
        <v>5496</v>
      </c>
      <c r="B1187" s="1" t="s">
        <v>13</v>
      </c>
      <c r="C1187" s="4" t="s">
        <v>5501</v>
      </c>
      <c r="D1187" s="1" t="s">
        <v>5502</v>
      </c>
      <c r="E1187" s="1" t="s">
        <v>5503</v>
      </c>
      <c r="F1187" s="4" t="s">
        <v>17</v>
      </c>
      <c r="G1187" s="1" t="s">
        <v>18</v>
      </c>
      <c r="H1187" s="1" t="s">
        <v>19</v>
      </c>
      <c r="I1187" s="1" t="s">
        <v>20</v>
      </c>
      <c r="J1187" s="1" t="s">
        <v>5504</v>
      </c>
      <c r="K1187" s="1" t="s">
        <v>22</v>
      </c>
      <c r="L1187" s="1" t="str">
        <f>HYPERLINK("https://files.afu.se/Downloads/Transcripts/0%20-%20Government/USA%20-%20NASA%20Kennedy/2012 11 09 - NASA's Kennedy Space Center - VAB Platforms Removed - Time Lapse_hkf6W8ORTt4 - transcript (automated).pdf","Transcript Link")</f>
        <v>Transcript Link</v>
      </c>
      <c r="M1187" s="2" t="str">
        <f>HYPERLINK("https://files.afu.se/Downloads/Transcripts/0%20-%20Government/USA%20-%20NASA%20Kennedy/2012 11 09 - NASA's Kennedy Space Center - VAB Platforms Removed - Time Lapse_hkf6W8ORTt4 - transcript (automated).pdf","Transcript Link")</f>
        <v>Transcript Link</v>
      </c>
    </row>
    <row r="1188" ht="180" spans="1:13">
      <c r="A1188" s="1" t="s">
        <v>5505</v>
      </c>
      <c r="B1188" s="1" t="s">
        <v>13</v>
      </c>
      <c r="C1188" s="4" t="s">
        <v>5506</v>
      </c>
      <c r="D1188" s="1" t="s">
        <v>5507</v>
      </c>
      <c r="E1188" s="1" t="s">
        <v>5508</v>
      </c>
      <c r="F1188" s="4" t="s">
        <v>17</v>
      </c>
      <c r="G1188" s="1" t="s">
        <v>18</v>
      </c>
      <c r="H1188" s="1" t="s">
        <v>19</v>
      </c>
      <c r="I1188" s="1" t="s">
        <v>20</v>
      </c>
      <c r="J1188" s="1" t="s">
        <v>5509</v>
      </c>
      <c r="K1188" s="1" t="s">
        <v>22</v>
      </c>
      <c r="L1188" s="1" t="str">
        <f>HYPERLINK("https://files.afu.se/Downloads/Transcripts/0%20-%20Government/USA%20-%20NASA%20Kennedy/2012 11 07 - NASA's Kennedy Space Center - Sentinels Stood Ready for Shuttle Flights_pm7SkfnWpvM - transcript (automated).pdf","Transcript Link")</f>
        <v>Transcript Link</v>
      </c>
      <c r="M1188" s="2" t="str">
        <f>HYPERLINK("https://files.afu.se/Downloads/Transcripts/0%20-%20Government/USA%20-%20NASA%20Kennedy/2012 11 07 - NASA's Kennedy Space Center - Sentinels Stood Ready for Shuttle Flights_pm7SkfnWpvM - transcript (automated).pdf","Transcript Link")</f>
        <v>Transcript Link</v>
      </c>
    </row>
    <row r="1189" ht="180" spans="1:13">
      <c r="A1189" s="1" t="s">
        <v>5510</v>
      </c>
      <c r="B1189" s="1" t="s">
        <v>13</v>
      </c>
      <c r="C1189" s="4" t="s">
        <v>5511</v>
      </c>
      <c r="D1189" s="1" t="s">
        <v>5512</v>
      </c>
      <c r="E1189" s="1" t="s">
        <v>5513</v>
      </c>
      <c r="F1189" s="4" t="s">
        <v>17</v>
      </c>
      <c r="G1189" s="1" t="s">
        <v>18</v>
      </c>
      <c r="H1189" s="1" t="s">
        <v>19</v>
      </c>
      <c r="I1189" s="1" t="s">
        <v>20</v>
      </c>
      <c r="J1189" s="1" t="s">
        <v>5514</v>
      </c>
      <c r="K1189" s="1" t="s">
        <v>22</v>
      </c>
      <c r="L1189" s="1" t="str">
        <f>HYPERLINK("https://files.afu.se/Downloads/Transcripts/0%20-%20Government/USA%20-%20NASA%20Kennedy/2012 11 05 - NASA's Kennedy Space Center - Atlantis Moves to New Home_sy0HX_Q_s7o - transcript (automated).pdf","Transcript Link")</f>
        <v>Transcript Link</v>
      </c>
      <c r="M1189" s="2" t="str">
        <f>HYPERLINK("https://files.afu.se/Downloads/Transcripts/0%20-%20Government/USA%20-%20NASA%20Kennedy/2012 11 05 - NASA's Kennedy Space Center - Atlantis Moves to New Home_sy0HX_Q_s7o - transcript (automated).pdf","Transcript Link")</f>
        <v>Transcript Link</v>
      </c>
    </row>
    <row r="1190" ht="180" spans="1:13">
      <c r="A1190" s="1" t="s">
        <v>5515</v>
      </c>
      <c r="B1190" s="1" t="s">
        <v>13</v>
      </c>
      <c r="C1190" s="4" t="s">
        <v>5516</v>
      </c>
      <c r="D1190" s="1" t="s">
        <v>5517</v>
      </c>
      <c r="E1190" s="1" t="s">
        <v>5518</v>
      </c>
      <c r="F1190" s="4" t="s">
        <v>17</v>
      </c>
      <c r="G1190" s="1" t="s">
        <v>18</v>
      </c>
      <c r="H1190" s="1" t="s">
        <v>19</v>
      </c>
      <c r="I1190" s="1" t="s">
        <v>20</v>
      </c>
      <c r="J1190" s="1" t="s">
        <v>5519</v>
      </c>
      <c r="K1190" s="1" t="s">
        <v>22</v>
      </c>
      <c r="L1190" s="1" t="str">
        <f>HYPERLINK("https://files.afu.se/Downloads/Transcripts/0%20-%20Government/USA%20-%20NASA%20Kennedy/2012 11 02 - NASA's Kennedy Space Center - Atlantis Reaches New Home at Kennedy_kX5SEJsXbaY - transcript (automated).pdf","Transcript Link")</f>
        <v>Transcript Link</v>
      </c>
      <c r="M1190" s="2" t="str">
        <f>HYPERLINK("https://files.afu.se/Downloads/Transcripts/0%20-%20Government/USA%20-%20NASA%20Kennedy/2012 11 02 - NASA's Kennedy Space Center - Atlantis Reaches New Home at Kennedy_kX5SEJsXbaY - transcript (automated).pdf","Transcript Link")</f>
        <v>Transcript Link</v>
      </c>
    </row>
    <row r="1191" ht="180" spans="1:13">
      <c r="A1191" s="1" t="s">
        <v>5515</v>
      </c>
      <c r="B1191" s="1" t="s">
        <v>13</v>
      </c>
      <c r="C1191" s="4" t="s">
        <v>5520</v>
      </c>
      <c r="D1191" s="1" t="s">
        <v>5521</v>
      </c>
      <c r="E1191" s="1" t="s">
        <v>5522</v>
      </c>
      <c r="F1191" s="4" t="s">
        <v>17</v>
      </c>
      <c r="G1191" s="1" t="s">
        <v>18</v>
      </c>
      <c r="H1191" s="1" t="s">
        <v>19</v>
      </c>
      <c r="I1191" s="1" t="s">
        <v>20</v>
      </c>
      <c r="J1191" s="1" t="s">
        <v>5523</v>
      </c>
      <c r="K1191" s="1" t="s">
        <v>22</v>
      </c>
      <c r="L1191" s="1" t="str">
        <f>HYPERLINK("https://files.afu.se/Downloads/Transcripts/0%20-%20Government/USA%20-%20NASA%20Kennedy/2012 11 02 - NASA's Kennedy Space Center - Atlantis' Move From the Air, Extended Version_d7O3wPs97vI - transcript (automated).pdf","Transcript Link")</f>
        <v>Transcript Link</v>
      </c>
      <c r="M1191" s="2" t="str">
        <f>HYPERLINK("https://files.afu.se/Downloads/Transcripts/0%20-%20Government/USA%20-%20NASA%20Kennedy/2012 11 02 - NASA's Kennedy Space Center - Atlantis' Move From the Air, Extended Version_d7O3wPs97vI - transcript (automated).pdf","Transcript Link")</f>
        <v>Transcript Link</v>
      </c>
    </row>
    <row r="1192" ht="180" spans="1:13">
      <c r="A1192" s="1" t="s">
        <v>5515</v>
      </c>
      <c r="B1192" s="1" t="s">
        <v>13</v>
      </c>
      <c r="C1192" s="4" t="s">
        <v>5524</v>
      </c>
      <c r="D1192" s="1" t="s">
        <v>5525</v>
      </c>
      <c r="E1192" s="1" t="s">
        <v>5526</v>
      </c>
      <c r="F1192" s="4" t="s">
        <v>17</v>
      </c>
      <c r="G1192" s="1" t="s">
        <v>18</v>
      </c>
      <c r="H1192" s="1" t="s">
        <v>19</v>
      </c>
      <c r="I1192" s="1" t="s">
        <v>20</v>
      </c>
      <c r="J1192" s="1" t="s">
        <v>5527</v>
      </c>
      <c r="K1192" s="1" t="s">
        <v>22</v>
      </c>
      <c r="L1192" s="1" t="str">
        <f>HYPERLINK("https://files.afu.se/Downloads/Transcripts/0%20-%20Government/USA%20-%20NASA%20Kennedy/2012 11 02 - NASA's Kennedy Space Center - NASA Celebrates Atlantis as Pioneer, Inspiration_LTKsU2qe4tg - transcript (automated).pdf","Transcript Link")</f>
        <v>Transcript Link</v>
      </c>
      <c r="M1192" s="2" t="str">
        <f>HYPERLINK("https://files.afu.se/Downloads/Transcripts/0%20-%20Government/USA%20-%20NASA%20Kennedy/2012 11 02 - NASA's Kennedy Space Center - NASA Celebrates Atlantis as Pioneer, Inspiration_LTKsU2qe4tg - transcript (automated).pdf","Transcript Link")</f>
        <v>Transcript Link</v>
      </c>
    </row>
    <row r="1193" ht="180" spans="1:13">
      <c r="A1193" s="1" t="s">
        <v>5515</v>
      </c>
      <c r="B1193" s="1" t="s">
        <v>13</v>
      </c>
      <c r="C1193" s="4" t="s">
        <v>5528</v>
      </c>
      <c r="D1193" s="1" t="s">
        <v>5529</v>
      </c>
      <c r="E1193" s="1" t="s">
        <v>5530</v>
      </c>
      <c r="F1193" s="4" t="s">
        <v>17</v>
      </c>
      <c r="G1193" s="1" t="s">
        <v>18</v>
      </c>
      <c r="H1193" s="1" t="s">
        <v>19</v>
      </c>
      <c r="I1193" s="1" t="s">
        <v>20</v>
      </c>
      <c r="J1193" s="1" t="s">
        <v>5531</v>
      </c>
      <c r="K1193" s="1" t="s">
        <v>22</v>
      </c>
      <c r="L1193" s="1" t="str">
        <f>HYPERLINK("https://files.afu.se/Downloads/Transcripts/0%20-%20Government/USA%20-%20NASA%20Kennedy/2012 11 02 - NASA's Kennedy Space Center - NASA Administrator Marks Atlantis' Retirement_eUUe1croU5E - transcript (automated).pdf","Transcript Link")</f>
        <v>Transcript Link</v>
      </c>
      <c r="M1193" s="2" t="str">
        <f>HYPERLINK("https://files.afu.se/Downloads/Transcripts/0%20-%20Government/USA%20-%20NASA%20Kennedy/2012 11 02 - NASA's Kennedy Space Center - NASA Administrator Marks Atlantis' Retirement_eUUe1croU5E - transcript (automated).pdf","Transcript Link")</f>
        <v>Transcript Link</v>
      </c>
    </row>
    <row r="1194" ht="180" spans="1:13">
      <c r="A1194" s="1" t="s">
        <v>5515</v>
      </c>
      <c r="B1194" s="1" t="s">
        <v>13</v>
      </c>
      <c r="C1194" s="4" t="s">
        <v>5532</v>
      </c>
      <c r="D1194" s="1" t="s">
        <v>5533</v>
      </c>
      <c r="E1194" s="1" t="s">
        <v>5534</v>
      </c>
      <c r="F1194" s="4" t="s">
        <v>17</v>
      </c>
      <c r="G1194" s="1" t="s">
        <v>18</v>
      </c>
      <c r="H1194" s="1" t="s">
        <v>19</v>
      </c>
      <c r="I1194" s="1" t="s">
        <v>20</v>
      </c>
      <c r="J1194" s="1" t="s">
        <v>5535</v>
      </c>
      <c r="K1194" s="1" t="s">
        <v>22</v>
      </c>
      <c r="L1194" s="1" t="str">
        <f>HYPERLINK("https://files.afu.se/Downloads/Transcripts/0%20-%20Government/USA%20-%20NASA%20Kennedy/2012 11 02 - NASA's Kennedy Space Center - Atlantis Rolls Through Kennedy Space Center_PjtsXSKG4t4 - transcript (automated).pdf","Transcript Link")</f>
        <v>Transcript Link</v>
      </c>
      <c r="M1194" s="2" t="str">
        <f>HYPERLINK("https://files.afu.se/Downloads/Transcripts/0%20-%20Government/USA%20-%20NASA%20Kennedy/2012 11 02 - NASA's Kennedy Space Center - Atlantis Rolls Through Kennedy Space Center_PjtsXSKG4t4 - transcript (automated).pdf","Transcript Link")</f>
        <v>Transcript Link</v>
      </c>
    </row>
    <row r="1195" ht="180" spans="1:13">
      <c r="A1195" s="1" t="s">
        <v>5515</v>
      </c>
      <c r="B1195" s="1" t="s">
        <v>13</v>
      </c>
      <c r="C1195" s="4" t="s">
        <v>5536</v>
      </c>
      <c r="D1195" s="1" t="s">
        <v>5537</v>
      </c>
      <c r="E1195" s="1" t="s">
        <v>5538</v>
      </c>
      <c r="F1195" s="4" t="s">
        <v>17</v>
      </c>
      <c r="G1195" s="1" t="s">
        <v>18</v>
      </c>
      <c r="H1195" s="1" t="s">
        <v>19</v>
      </c>
      <c r="I1195" s="1" t="s">
        <v>20</v>
      </c>
      <c r="J1195" s="1" t="s">
        <v>5539</v>
      </c>
      <c r="K1195" s="1" t="s">
        <v>22</v>
      </c>
      <c r="L1195" s="1" t="str">
        <f>HYPERLINK("https://files.afu.se/Downloads/Transcripts/0%20-%20Government/USA%20-%20NASA%20Kennedy/2012 11 02 - NASA's Kennedy Space Center - Atlantis Begins Move to Kennedy Space Center Visitor Complex_BJWdnT3uMts - transcript (automated).pdf","Transcript Link")</f>
        <v>Transcript Link</v>
      </c>
      <c r="M1195" s="2" t="str">
        <f>HYPERLINK("https://files.afu.se/Downloads/Transcripts/0%20-%20Government/USA%20-%20NASA%20Kennedy/2012 11 02 - NASA's Kennedy Space Center - Atlantis Begins Move to Kennedy Space Center Visitor Complex_BJWdnT3uMts - transcript (automated).pdf","Transcript Link")</f>
        <v>Transcript Link</v>
      </c>
    </row>
    <row r="1196" ht="180" spans="1:13">
      <c r="A1196" s="1" t="s">
        <v>5540</v>
      </c>
      <c r="B1196" s="1" t="s">
        <v>13</v>
      </c>
      <c r="C1196" s="4" t="s">
        <v>5541</v>
      </c>
      <c r="D1196" s="1" t="s">
        <v>5542</v>
      </c>
      <c r="E1196" s="1" t="s">
        <v>5543</v>
      </c>
      <c r="F1196" s="4" t="s">
        <v>17</v>
      </c>
      <c r="G1196" s="1" t="s">
        <v>18</v>
      </c>
      <c r="H1196" s="1" t="s">
        <v>19</v>
      </c>
      <c r="I1196" s="1" t="s">
        <v>20</v>
      </c>
      <c r="J1196" s="1" t="s">
        <v>5544</v>
      </c>
      <c r="K1196" s="1" t="s">
        <v>22</v>
      </c>
      <c r="L1196" s="1" t="str">
        <f>HYPERLINK("https://files.afu.se/Downloads/Transcripts/0%20-%20Government/USA%20-%20NASA%20Kennedy/2012 10 29 - NASA's Kennedy Space Center - 2012 Innovation Expo  Learn Everywhere_WTIhylcZEjw - transcript (automated).pdf","Transcript Link")</f>
        <v>Transcript Link</v>
      </c>
      <c r="M1196" s="2" t="str">
        <f>HYPERLINK("https://files.afu.se/Downloads/Transcripts/0%20-%20Government/USA%20-%20NASA%20Kennedy/2012 10 29 - NASA's Kennedy Space Center - 2012 Innovation Expo  Learn Everywhere_WTIhylcZEjw - transcript (automated).pdf","Transcript Link")</f>
        <v>Transcript Link</v>
      </c>
    </row>
    <row r="1197" ht="180" spans="1:13">
      <c r="A1197" s="1" t="s">
        <v>5540</v>
      </c>
      <c r="B1197" s="1" t="s">
        <v>13</v>
      </c>
      <c r="C1197" s="4" t="s">
        <v>5545</v>
      </c>
      <c r="D1197" s="1" t="s">
        <v>5546</v>
      </c>
      <c r="E1197" s="1" t="s">
        <v>5547</v>
      </c>
      <c r="F1197" s="4" t="s">
        <v>17</v>
      </c>
      <c r="G1197" s="1" t="s">
        <v>18</v>
      </c>
      <c r="H1197" s="1" t="s">
        <v>19</v>
      </c>
      <c r="I1197" s="1" t="s">
        <v>20</v>
      </c>
      <c r="J1197" s="1" t="s">
        <v>5548</v>
      </c>
      <c r="K1197" s="1" t="s">
        <v>22</v>
      </c>
      <c r="L1197" s="1" t="str">
        <f>HYPERLINK("https://files.afu.se/Downloads/Transcripts/0%20-%20Government/USA%20-%20NASA%20Kennedy/2012 10 29 - NASA's Kennedy Space Center - 2012 Innovation Expo  NASA Engineering and Technology_0JfyWDsXZMg - transcript (automated).pdf","Transcript Link")</f>
        <v>Transcript Link</v>
      </c>
      <c r="M1197" s="2" t="str">
        <f>HYPERLINK("https://files.afu.se/Downloads/Transcripts/0%20-%20Government/USA%20-%20NASA%20Kennedy/2012 10 29 - NASA's Kennedy Space Center - 2012 Innovation Expo  NASA Engineering and Technology_0JfyWDsXZMg - transcript (automated).pdf","Transcript Link")</f>
        <v>Transcript Link</v>
      </c>
    </row>
    <row r="1198" ht="180" spans="1:13">
      <c r="A1198" s="1" t="s">
        <v>5540</v>
      </c>
      <c r="B1198" s="1" t="s">
        <v>13</v>
      </c>
      <c r="C1198" s="4" t="s">
        <v>5549</v>
      </c>
      <c r="D1198" s="1" t="s">
        <v>5550</v>
      </c>
      <c r="E1198" s="1" t="s">
        <v>5551</v>
      </c>
      <c r="F1198" s="4" t="s">
        <v>17</v>
      </c>
      <c r="G1198" s="1" t="s">
        <v>18</v>
      </c>
      <c r="H1198" s="1" t="s">
        <v>19</v>
      </c>
      <c r="I1198" s="1" t="s">
        <v>20</v>
      </c>
      <c r="J1198" s="1" t="s">
        <v>5552</v>
      </c>
      <c r="K1198" s="1" t="s">
        <v>22</v>
      </c>
      <c r="L1198" s="1" t="str">
        <f>HYPERLINK("https://files.afu.se/Downloads/Transcripts/0%20-%20Government/USA%20-%20NASA%20Kennedy/2012 10 29 - NASA's Kennedy Space Center - 2012 Innovation Expo  Universal Orlando_LxWdM7OB9KY - transcript (automated).pdf","Transcript Link")</f>
        <v>Transcript Link</v>
      </c>
      <c r="M1198" s="2" t="str">
        <f>HYPERLINK("https://files.afu.se/Downloads/Transcripts/0%20-%20Government/USA%20-%20NASA%20Kennedy/2012 10 29 - NASA's Kennedy Space Center - 2012 Innovation Expo  Universal Orlando_LxWdM7OB9KY - transcript (automated).pdf","Transcript Link")</f>
        <v>Transcript Link</v>
      </c>
    </row>
    <row r="1199" ht="180" spans="1:13">
      <c r="A1199" s="1" t="s">
        <v>5540</v>
      </c>
      <c r="B1199" s="1" t="s">
        <v>13</v>
      </c>
      <c r="C1199" s="4" t="s">
        <v>5553</v>
      </c>
      <c r="D1199" s="1" t="s">
        <v>5554</v>
      </c>
      <c r="E1199" s="1" t="s">
        <v>5555</v>
      </c>
      <c r="F1199" s="4" t="s">
        <v>17</v>
      </c>
      <c r="G1199" s="1" t="s">
        <v>18</v>
      </c>
      <c r="H1199" s="1" t="s">
        <v>19</v>
      </c>
      <c r="I1199" s="1" t="s">
        <v>20</v>
      </c>
      <c r="J1199" s="1" t="s">
        <v>5556</v>
      </c>
      <c r="K1199" s="1" t="s">
        <v>22</v>
      </c>
      <c r="L1199" s="1" t="str">
        <f>HYPERLINK("https://files.afu.se/Downloads/Transcripts/0%20-%20Government/USA%20-%20NASA%20Kennedy/2012 10 29 - NASA's Kennedy Space Center - 2012 Innovation Expo  NASA Avionics and Flight Controls_mkT0KtyLgCU - transcript (automated).pdf","Transcript Link")</f>
        <v>Transcript Link</v>
      </c>
      <c r="M1199" s="2" t="str">
        <f>HYPERLINK("https://files.afu.se/Downloads/Transcripts/0%20-%20Government/USA%20-%20NASA%20Kennedy/2012 10 29 - NASA's Kennedy Space Center - 2012 Innovation Expo  NASA Avionics and Flight Controls_mkT0KtyLgCU - transcript (automated).pdf","Transcript Link")</f>
        <v>Transcript Link</v>
      </c>
    </row>
    <row r="1200" ht="180" spans="1:13">
      <c r="A1200" s="1" t="s">
        <v>5540</v>
      </c>
      <c r="B1200" s="1" t="s">
        <v>13</v>
      </c>
      <c r="C1200" s="4" t="s">
        <v>5557</v>
      </c>
      <c r="D1200" s="1" t="s">
        <v>5558</v>
      </c>
      <c r="E1200" s="1" t="s">
        <v>5559</v>
      </c>
      <c r="F1200" s="4" t="s">
        <v>17</v>
      </c>
      <c r="G1200" s="1" t="s">
        <v>18</v>
      </c>
      <c r="H1200" s="1" t="s">
        <v>19</v>
      </c>
      <c r="I1200" s="1" t="s">
        <v>20</v>
      </c>
      <c r="J1200" s="1" t="s">
        <v>5560</v>
      </c>
      <c r="K1200" s="1" t="s">
        <v>22</v>
      </c>
      <c r="L1200" s="1" t="str">
        <f>HYPERLINK("https://files.afu.se/Downloads/Transcripts/0%20-%20Government/USA%20-%20NASA%20Kennedy/2012 10 29 - NASA's Kennedy Space Center - 2012 Innovation Expo  First Biofuel Jet Pilot_i5TKC1wDAWE - transcript (automated).pdf","Transcript Link")</f>
        <v>Transcript Link</v>
      </c>
      <c r="M1200" s="2" t="str">
        <f>HYPERLINK("https://files.afu.se/Downloads/Transcripts/0%20-%20Government/USA%20-%20NASA%20Kennedy/2012 10 29 - NASA's Kennedy Space Center - 2012 Innovation Expo  First Biofuel Jet Pilot_i5TKC1wDAWE - transcript (automated).pdf","Transcript Link")</f>
        <v>Transcript Link</v>
      </c>
    </row>
    <row r="1201" ht="195" spans="1:13">
      <c r="A1201" s="1" t="s">
        <v>5540</v>
      </c>
      <c r="B1201" s="1" t="s">
        <v>13</v>
      </c>
      <c r="C1201" s="4" t="s">
        <v>5561</v>
      </c>
      <c r="D1201" s="1" t="s">
        <v>5562</v>
      </c>
      <c r="E1201" s="1" t="s">
        <v>5563</v>
      </c>
      <c r="F1201" s="4" t="s">
        <v>17</v>
      </c>
      <c r="G1201" s="1" t="s">
        <v>18</v>
      </c>
      <c r="H1201" s="1" t="s">
        <v>19</v>
      </c>
      <c r="I1201" s="1" t="s">
        <v>20</v>
      </c>
      <c r="J1201" s="1" t="s">
        <v>5564</v>
      </c>
      <c r="K1201" s="1" t="s">
        <v>22</v>
      </c>
      <c r="L1201" s="1" t="str">
        <f>HYPERLINK("https://files.afu.se/Downloads/Transcripts/0%20-%20Government/USA%20-%20NASA%20Kennedy/2012 10 29 - NASA's Kennedy Space Center - 2012 Innovation Expo  Sierra Nevada Corporation_dnerAF_vgFY - transcript (automated).pdf","Transcript Link")</f>
        <v>Transcript Link</v>
      </c>
      <c r="M1201" s="2" t="str">
        <f>HYPERLINK("https://files.afu.se/Downloads/Transcripts/0%20-%20Government/USA%20-%20NASA%20Kennedy/2012 10 29 - NASA's Kennedy Space Center - 2012 Innovation Expo  Sierra Nevada Corporation_dnerAF_vgFY - transcript (automated).pdf","Transcript Link")</f>
        <v>Transcript Link</v>
      </c>
    </row>
    <row r="1202" ht="180" spans="1:13">
      <c r="A1202" s="1" t="s">
        <v>5540</v>
      </c>
      <c r="B1202" s="1" t="s">
        <v>13</v>
      </c>
      <c r="C1202" s="4" t="s">
        <v>5565</v>
      </c>
      <c r="D1202" s="1" t="s">
        <v>5566</v>
      </c>
      <c r="E1202" s="1" t="s">
        <v>5567</v>
      </c>
      <c r="F1202" s="4" t="s">
        <v>17</v>
      </c>
      <c r="G1202" s="1" t="s">
        <v>18</v>
      </c>
      <c r="H1202" s="1" t="s">
        <v>19</v>
      </c>
      <c r="I1202" s="1" t="s">
        <v>20</v>
      </c>
      <c r="J1202" s="1" t="s">
        <v>5568</v>
      </c>
      <c r="K1202" s="1" t="s">
        <v>22</v>
      </c>
      <c r="L1202" s="1" t="str">
        <f>HYPERLINK("https://files.afu.se/Downloads/Transcripts/0%20-%20Government/USA%20-%20NASA%20Kennedy/2012 10 29 - NASA's Kennedy Space Center - 2012 Innovation Expo  Earthrise Space Inc._5-pHpEcFt4g - transcript (automated).pdf","Transcript Link")</f>
        <v>Transcript Link</v>
      </c>
      <c r="M1202" s="2" t="str">
        <f>HYPERLINK("https://files.afu.se/Downloads/Transcripts/0%20-%20Government/USA%20-%20NASA%20Kennedy/2012 10 29 - NASA's Kennedy Space Center - 2012 Innovation Expo  Earthrise Space Inc._5-pHpEcFt4g - transcript (automated).pdf","Transcript Link")</f>
        <v>Transcript Link</v>
      </c>
    </row>
    <row r="1203" ht="180" spans="1:13">
      <c r="A1203" s="1" t="s">
        <v>5540</v>
      </c>
      <c r="B1203" s="1" t="s">
        <v>13</v>
      </c>
      <c r="C1203" s="4" t="s">
        <v>5569</v>
      </c>
      <c r="D1203" s="1" t="s">
        <v>5570</v>
      </c>
      <c r="E1203" s="1" t="s">
        <v>5571</v>
      </c>
      <c r="F1203" s="4" t="s">
        <v>17</v>
      </c>
      <c r="G1203" s="1" t="s">
        <v>18</v>
      </c>
      <c r="H1203" s="1" t="s">
        <v>19</v>
      </c>
      <c r="I1203" s="1" t="s">
        <v>20</v>
      </c>
      <c r="J1203" s="1" t="s">
        <v>5572</v>
      </c>
      <c r="K1203" s="1" t="s">
        <v>22</v>
      </c>
      <c r="L1203" s="1" t="str">
        <f>HYPERLINK("https://files.afu.se/Downloads/Transcripts/0%20-%20Government/USA%20-%20NASA%20Kennedy/2012 10 29 - NASA's Kennedy Space Center - 2012 KSC Innovation Expo  United States Navy_Nh2q29WP3Rw - transcript (automated).pdf","Transcript Link")</f>
        <v>Transcript Link</v>
      </c>
      <c r="M1203" s="2" t="str">
        <f>HYPERLINK("https://files.afu.se/Downloads/Transcripts/0%20-%20Government/USA%20-%20NASA%20Kennedy/2012 10 29 - NASA's Kennedy Space Center - 2012 KSC Innovation Expo  United States Navy_Nh2q29WP3Rw - transcript (automated).pdf","Transcript Link")</f>
        <v>Transcript Link</v>
      </c>
    </row>
    <row r="1204" ht="180" spans="1:13">
      <c r="A1204" s="1" t="s">
        <v>5540</v>
      </c>
      <c r="B1204" s="1" t="s">
        <v>13</v>
      </c>
      <c r="C1204" s="4" t="s">
        <v>5573</v>
      </c>
      <c r="D1204" s="1" t="s">
        <v>5574</v>
      </c>
      <c r="E1204" s="1" t="s">
        <v>5575</v>
      </c>
      <c r="F1204" s="4" t="s">
        <v>17</v>
      </c>
      <c r="G1204" s="1" t="s">
        <v>18</v>
      </c>
      <c r="H1204" s="1" t="s">
        <v>19</v>
      </c>
      <c r="I1204" s="1" t="s">
        <v>20</v>
      </c>
      <c r="J1204" s="1" t="s">
        <v>5576</v>
      </c>
      <c r="K1204" s="1" t="s">
        <v>22</v>
      </c>
      <c r="L1204" s="1" t="str">
        <f>HYPERLINK("https://files.afu.se/Downloads/Transcripts/0%20-%20Government/USA%20-%20NASA%20Kennedy/2012 10 29 - NASA's Kennedy Space Center - 2012 Innovation Expo  KSC Visitor Complex Master Plan__6asnta7MXc - transcript (automated).pdf","Transcript Link")</f>
        <v>Transcript Link</v>
      </c>
      <c r="M1204" s="2" t="str">
        <f>HYPERLINK("https://files.afu.se/Downloads/Transcripts/0%20-%20Government/USA%20-%20NASA%20Kennedy/2012 10 29 - NASA's Kennedy Space Center - 2012 Innovation Expo  KSC Visitor Complex Master Plan__6asnta7MXc - transcript (automated).pdf","Transcript Link")</f>
        <v>Transcript Link</v>
      </c>
    </row>
    <row r="1205" ht="180" spans="1:13">
      <c r="A1205" s="1" t="s">
        <v>5577</v>
      </c>
      <c r="B1205" s="1" t="s">
        <v>13</v>
      </c>
      <c r="C1205" s="4" t="s">
        <v>5578</v>
      </c>
      <c r="D1205" s="1" t="s">
        <v>5579</v>
      </c>
      <c r="E1205" s="1" t="s">
        <v>5580</v>
      </c>
      <c r="F1205" s="4" t="s">
        <v>17</v>
      </c>
      <c r="G1205" s="1" t="s">
        <v>18</v>
      </c>
      <c r="H1205" s="1" t="s">
        <v>19</v>
      </c>
      <c r="I1205" s="1" t="s">
        <v>20</v>
      </c>
      <c r="J1205" s="1" t="s">
        <v>5581</v>
      </c>
      <c r="K1205" s="1" t="s">
        <v>22</v>
      </c>
      <c r="L1205" s="1" t="str">
        <f>HYPERLINK("https://files.afu.se/Downloads/Transcripts/0%20-%20Government/USA%20-%20NASA%20Kennedy/2012 10 24 - NASA's Kennedy Space Center - Blue Origin Conducts Pad Escape Test_S8NFLIJSMM4 - transcript (automated).pdf","Transcript Link")</f>
        <v>Transcript Link</v>
      </c>
      <c r="M1205" s="2" t="str">
        <f>HYPERLINK("https://files.afu.se/Downloads/Transcripts/0%20-%20Government/USA%20-%20NASA%20Kennedy/2012 10 24 - NASA's Kennedy Space Center - Blue Origin Conducts Pad Escape Test_S8NFLIJSMM4 - transcript (automated).pdf","Transcript Link")</f>
        <v>Transcript Link</v>
      </c>
    </row>
    <row r="1206" ht="180" spans="1:13">
      <c r="A1206" s="1" t="s">
        <v>5582</v>
      </c>
      <c r="B1206" s="1" t="s">
        <v>13</v>
      </c>
      <c r="C1206" s="4" t="s">
        <v>5583</v>
      </c>
      <c r="D1206" s="1" t="s">
        <v>5584</v>
      </c>
      <c r="E1206" s="1" t="s">
        <v>5585</v>
      </c>
      <c r="F1206" s="4" t="s">
        <v>17</v>
      </c>
      <c r="G1206" s="1" t="s">
        <v>18</v>
      </c>
      <c r="H1206" s="1" t="s">
        <v>19</v>
      </c>
      <c r="I1206" s="1" t="s">
        <v>20</v>
      </c>
      <c r="J1206" s="1" t="s">
        <v>5586</v>
      </c>
      <c r="K1206" s="1" t="s">
        <v>22</v>
      </c>
      <c r="L1206" s="1" t="str">
        <f>HYPERLINK("https://files.afu.se/Downloads/Transcripts/0%20-%20Government/USA%20-%20NASA%20Kennedy/2012 10 18 - NASA's Kennedy Space Center - 2012 Innovation Expo  The Boy Scouts of America_EwQnGxtm5V8 - transcript (automated).pdf","Transcript Link")</f>
        <v>Transcript Link</v>
      </c>
      <c r="M1206" s="2" t="str">
        <f>HYPERLINK("https://files.afu.se/Downloads/Transcripts/0%20-%20Government/USA%20-%20NASA%20Kennedy/2012 10 18 - NASA's Kennedy Space Center - 2012 Innovation Expo  The Boy Scouts of America_EwQnGxtm5V8 - transcript (automated).pdf","Transcript Link")</f>
        <v>Transcript Link</v>
      </c>
    </row>
    <row r="1207" ht="180" spans="1:13">
      <c r="A1207" s="1" t="s">
        <v>5582</v>
      </c>
      <c r="B1207" s="1" t="s">
        <v>13</v>
      </c>
      <c r="C1207" s="4" t="s">
        <v>5587</v>
      </c>
      <c r="D1207" s="1" t="s">
        <v>5588</v>
      </c>
      <c r="E1207" s="1" t="s">
        <v>5589</v>
      </c>
      <c r="F1207" s="4" t="s">
        <v>17</v>
      </c>
      <c r="G1207" s="1" t="s">
        <v>18</v>
      </c>
      <c r="H1207" s="1" t="s">
        <v>19</v>
      </c>
      <c r="I1207" s="1" t="s">
        <v>20</v>
      </c>
      <c r="J1207" s="1" t="s">
        <v>5590</v>
      </c>
      <c r="K1207" s="1" t="s">
        <v>22</v>
      </c>
      <c r="L1207" s="1" t="str">
        <f>HYPERLINK("https://files.afu.se/Downloads/Transcripts/0%20-%20Government/USA%20-%20NASA%20Kennedy/2012 10 18 - NASA's Kennedy Space Center - 2012 Innovation Expo  International Speaker_3sxfsTzQ944 - transcript (automated).pdf","Transcript Link")</f>
        <v>Transcript Link</v>
      </c>
      <c r="M1207" s="2" t="str">
        <f>HYPERLINK("https://files.afu.se/Downloads/Transcripts/0%20-%20Government/USA%20-%20NASA%20Kennedy/2012 10 18 - NASA's Kennedy Space Center - 2012 Innovation Expo  International Speaker_3sxfsTzQ944 - transcript (automated).pdf","Transcript Link")</f>
        <v>Transcript Link</v>
      </c>
    </row>
    <row r="1208" ht="180" spans="1:13">
      <c r="A1208" s="1" t="s">
        <v>5591</v>
      </c>
      <c r="B1208" s="1" t="s">
        <v>13</v>
      </c>
      <c r="C1208" s="4" t="s">
        <v>5592</v>
      </c>
      <c r="D1208" s="1" t="s">
        <v>5593</v>
      </c>
      <c r="E1208" s="1" t="s">
        <v>5594</v>
      </c>
      <c r="F1208" s="4" t="s">
        <v>17</v>
      </c>
      <c r="G1208" s="1" t="s">
        <v>18</v>
      </c>
      <c r="H1208" s="1" t="s">
        <v>19</v>
      </c>
      <c r="I1208" s="1" t="s">
        <v>20</v>
      </c>
      <c r="J1208" s="1" t="s">
        <v>5595</v>
      </c>
      <c r="K1208" s="1" t="s">
        <v>22</v>
      </c>
      <c r="L1208" s="1" t="str">
        <f>HYPERLINK("https://files.afu.se/Downloads/Transcripts/0%20-%20Government/USA%20-%20NASA%20Kennedy/2012 10 16 - NASA's Kennedy Space Center - Commercial Crew CCiCap Partners_wqT54JQpbf4 - transcript (automated).pdf","Transcript Link")</f>
        <v>Transcript Link</v>
      </c>
      <c r="M1208" s="2" t="str">
        <f>HYPERLINK("https://files.afu.se/Downloads/Transcripts/0%20-%20Government/USA%20-%20NASA%20Kennedy/2012 10 16 - NASA's Kennedy Space Center - Commercial Crew CCiCap Partners_wqT54JQpbf4 - transcript (automated).pdf","Transcript Link")</f>
        <v>Transcript Link</v>
      </c>
    </row>
    <row r="1209" ht="180" spans="1:13">
      <c r="A1209" s="1" t="s">
        <v>5596</v>
      </c>
      <c r="B1209" s="1" t="s">
        <v>13</v>
      </c>
      <c r="C1209" s="4" t="s">
        <v>5597</v>
      </c>
      <c r="D1209" s="1" t="s">
        <v>5598</v>
      </c>
      <c r="E1209" s="1" t="s">
        <v>5599</v>
      </c>
      <c r="F1209" s="4" t="s">
        <v>17</v>
      </c>
      <c r="G1209" s="1" t="s">
        <v>18</v>
      </c>
      <c r="H1209" s="1" t="s">
        <v>19</v>
      </c>
      <c r="I1209" s="1" t="s">
        <v>20</v>
      </c>
      <c r="J1209" s="1" t="s">
        <v>5600</v>
      </c>
      <c r="K1209" s="1" t="s">
        <v>22</v>
      </c>
      <c r="L1209" s="1" t="str">
        <f>HYPERLINK("https://files.afu.se/Downloads/Transcripts/0%20-%20Government/USA%20-%20NASA%20Kennedy/2012 10 12 - NASA's Kennedy Space Center - 2012 Innovation Expo  The Walt Disney Company_r6upfrmeAVE - transcript (automated).pdf","Transcript Link")</f>
        <v>Transcript Link</v>
      </c>
      <c r="M1209" s="2" t="str">
        <f>HYPERLINK("https://files.afu.se/Downloads/Transcripts/0%20-%20Government/USA%20-%20NASA%20Kennedy/2012 10 12 - NASA's Kennedy Space Center - 2012 Innovation Expo  The Walt Disney Company_r6upfrmeAVE - transcript (automated).pdf","Transcript Link")</f>
        <v>Transcript Link</v>
      </c>
    </row>
    <row r="1210" ht="180" spans="1:13">
      <c r="A1210" s="1" t="s">
        <v>5596</v>
      </c>
      <c r="B1210" s="1" t="s">
        <v>13</v>
      </c>
      <c r="C1210" s="4" t="s">
        <v>5601</v>
      </c>
      <c r="D1210" s="1" t="s">
        <v>5602</v>
      </c>
      <c r="E1210" s="1" t="s">
        <v>5603</v>
      </c>
      <c r="F1210" s="4" t="s">
        <v>17</v>
      </c>
      <c r="G1210" s="1" t="s">
        <v>18</v>
      </c>
      <c r="H1210" s="1" t="s">
        <v>19</v>
      </c>
      <c r="I1210" s="1" t="s">
        <v>20</v>
      </c>
      <c r="J1210" s="1" t="s">
        <v>5604</v>
      </c>
      <c r="K1210" s="1" t="s">
        <v>22</v>
      </c>
      <c r="L1210" s="1" t="str">
        <f>HYPERLINK("https://files.afu.se/Downloads/Transcripts/0%20-%20Government/USA%20-%20NASA%20Kennedy/2012 10 12 - NASA's Kennedy Space Center - 2012 Innovation Expo  Publix Super Markets_h_QF5PPSO0k - transcript (automated).pdf","Transcript Link")</f>
        <v>Transcript Link</v>
      </c>
      <c r="M1210" s="2" t="str">
        <f>HYPERLINK("https://files.afu.se/Downloads/Transcripts/0%20-%20Government/USA%20-%20NASA%20Kennedy/2012 10 12 - NASA's Kennedy Space Center - 2012 Innovation Expo  Publix Super Markets_h_QF5PPSO0k - transcript (automated).pdf","Transcript Link")</f>
        <v>Transcript Link</v>
      </c>
    </row>
    <row r="1211" ht="210" spans="1:13">
      <c r="A1211" s="1" t="s">
        <v>5605</v>
      </c>
      <c r="B1211" s="1" t="s">
        <v>13</v>
      </c>
      <c r="C1211" s="4" t="s">
        <v>5606</v>
      </c>
      <c r="D1211" s="1" t="s">
        <v>5607</v>
      </c>
      <c r="E1211" s="1" t="s">
        <v>5608</v>
      </c>
      <c r="F1211" s="4" t="s">
        <v>17</v>
      </c>
      <c r="G1211" s="1" t="s">
        <v>18</v>
      </c>
      <c r="H1211" s="1" t="s">
        <v>19</v>
      </c>
      <c r="I1211" s="1" t="s">
        <v>20</v>
      </c>
      <c r="J1211" s="1" t="s">
        <v>5609</v>
      </c>
      <c r="K1211" s="1" t="s">
        <v>22</v>
      </c>
      <c r="L1211" s="1" t="str">
        <f>HYPERLINK("https://files.afu.se/Downloads/Transcripts/0%20-%20Government/USA%20-%20NASA%20Kennedy/2012 10 09 - NASA's Kennedy Space Center - CST-100 Mock-Up Undergoes Airbag Stabilization Testing_orA33vVJfo0 - transcript (automated).pdf","Transcript Link")</f>
        <v>Transcript Link</v>
      </c>
      <c r="M1211" s="2" t="str">
        <f>HYPERLINK("https://files.afu.se/Downloads/Transcripts/0%20-%20Government/USA%20-%20NASA%20Kennedy/2012 10 09 - NASA's Kennedy Space Center - CST-100 Mock-Up Undergoes Airbag Stabilization Testing_orA33vVJfo0 - transcript (automated).pdf","Transcript Link")</f>
        <v>Transcript Link</v>
      </c>
    </row>
    <row r="1212" ht="180" spans="1:13">
      <c r="A1212" s="1" t="s">
        <v>5610</v>
      </c>
      <c r="B1212" s="1" t="s">
        <v>13</v>
      </c>
      <c r="C1212" s="4" t="s">
        <v>5611</v>
      </c>
      <c r="D1212" s="1" t="s">
        <v>5612</v>
      </c>
      <c r="E1212" s="1" t="s">
        <v>5613</v>
      </c>
      <c r="F1212" s="4" t="s">
        <v>17</v>
      </c>
      <c r="G1212" s="1" t="s">
        <v>18</v>
      </c>
      <c r="H1212" s="1" t="s">
        <v>19</v>
      </c>
      <c r="I1212" s="1" t="s">
        <v>20</v>
      </c>
      <c r="J1212" s="1" t="s">
        <v>5614</v>
      </c>
      <c r="K1212" s="1" t="s">
        <v>22</v>
      </c>
      <c r="L1212" s="1" t="str">
        <f>HYPERLINK("https://files.afu.se/Downloads/Transcripts/0%20-%20Government/USA%20-%20NASA%20Kennedy/2012 10 08 - NASA's Kennedy Space Center - SpaceX-1 Launch_WgpMKdQDjw4 - transcript (automated).pdf","Transcript Link")</f>
        <v>Transcript Link</v>
      </c>
      <c r="M1212" s="2" t="str">
        <f>HYPERLINK("https://files.afu.se/Downloads/Transcripts/0%20-%20Government/USA%20-%20NASA%20Kennedy/2012 10 08 - NASA's Kennedy Space Center - SpaceX-1 Launch_WgpMKdQDjw4 - transcript (automated).pdf","Transcript Link")</f>
        <v>Transcript Link</v>
      </c>
    </row>
    <row r="1213" ht="180" spans="1:13">
      <c r="A1213" s="1" t="s">
        <v>5615</v>
      </c>
      <c r="B1213" s="1" t="s">
        <v>13</v>
      </c>
      <c r="C1213" s="4" t="s">
        <v>5616</v>
      </c>
      <c r="D1213" s="1" t="s">
        <v>5617</v>
      </c>
      <c r="E1213" s="1" t="s">
        <v>5618</v>
      </c>
      <c r="F1213" s="4" t="s">
        <v>17</v>
      </c>
      <c r="G1213" s="1" t="s">
        <v>18</v>
      </c>
      <c r="H1213" s="1" t="s">
        <v>19</v>
      </c>
      <c r="I1213" s="1" t="s">
        <v>20</v>
      </c>
      <c r="J1213" s="1" t="s">
        <v>5619</v>
      </c>
      <c r="K1213" s="1" t="s">
        <v>22</v>
      </c>
      <c r="L1213" s="1" t="str">
        <f>HYPERLINK("https://files.afu.se/Downloads/Transcripts/0%20-%20Government/USA%20-%20NASA%20Kennedy/2012 10 05 - NASA's Kennedy Space Center - SpaceX Readies Operational Flight_IqPF3cuxu9I - transcript (automated).pdf","Transcript Link")</f>
        <v>Transcript Link</v>
      </c>
      <c r="M1213" s="2" t="str">
        <f>HYPERLINK("https://files.afu.se/Downloads/Transcripts/0%20-%20Government/USA%20-%20NASA%20Kennedy/2012 10 05 - NASA's Kennedy Space Center - SpaceX Readies Operational Flight_IqPF3cuxu9I - transcript (automated).pdf","Transcript Link")</f>
        <v>Transcript Link</v>
      </c>
    </row>
    <row r="1214" ht="180" spans="1:13">
      <c r="A1214" s="1" t="s">
        <v>5620</v>
      </c>
      <c r="B1214" s="1" t="s">
        <v>13</v>
      </c>
      <c r="C1214" s="4" t="s">
        <v>5621</v>
      </c>
      <c r="D1214" s="1" t="s">
        <v>5622</v>
      </c>
      <c r="E1214" s="1" t="s">
        <v>5623</v>
      </c>
      <c r="F1214" s="4" t="s">
        <v>17</v>
      </c>
      <c r="G1214" s="1" t="s">
        <v>18</v>
      </c>
      <c r="H1214" s="1" t="s">
        <v>19</v>
      </c>
      <c r="I1214" s="1" t="s">
        <v>20</v>
      </c>
      <c r="J1214" s="1" t="s">
        <v>5624</v>
      </c>
      <c r="K1214" s="1" t="s">
        <v>22</v>
      </c>
      <c r="L1214" s="1" t="str">
        <f>HYPERLINK("https://files.afu.se/Downloads/Transcripts/0%20-%20Government/USA%20-%20NASA%20Kennedy/2012 09 27 - NASA's Kennedy Space Center - Tribute to the Directors of the Kennedy Space Center_hydyW4Vj8dM - transcript (automated).pdf","Transcript Link")</f>
        <v>Transcript Link</v>
      </c>
      <c r="M1214" s="2" t="str">
        <f>HYPERLINK("https://files.afu.se/Downloads/Transcripts/0%20-%20Government/USA%20-%20NASA%20Kennedy/2012 09 27 - NASA's Kennedy Space Center - Tribute to the Directors of the Kennedy Space Center_hydyW4Vj8dM - transcript (automated).pdf","Transcript Link")</f>
        <v>Transcript Link</v>
      </c>
    </row>
    <row r="1215" ht="180" spans="1:13">
      <c r="A1215" s="1" t="s">
        <v>5625</v>
      </c>
      <c r="B1215" s="1" t="s">
        <v>13</v>
      </c>
      <c r="C1215" s="4" t="s">
        <v>5626</v>
      </c>
      <c r="D1215" s="1" t="s">
        <v>5627</v>
      </c>
      <c r="E1215" s="1" t="s">
        <v>5628</v>
      </c>
      <c r="F1215" s="4" t="s">
        <v>17</v>
      </c>
      <c r="G1215" s="1" t="s">
        <v>18</v>
      </c>
      <c r="H1215" s="1" t="s">
        <v>19</v>
      </c>
      <c r="I1215" s="1" t="s">
        <v>20</v>
      </c>
      <c r="J1215" s="1" t="s">
        <v>5629</v>
      </c>
      <c r="K1215" s="1" t="s">
        <v>22</v>
      </c>
      <c r="L1215" s="1" t="str">
        <f>HYPERLINK("https://files.afu.se/Downloads/Transcripts/0%20-%20Government/USA%20-%20NASA%20Kennedy/2012 09 20 - NASA's Kennedy Space Center - Space Center Co-Exists With Nature_RXyzDUpE9Ks - transcript (automated).pdf","Transcript Link")</f>
        <v>Transcript Link</v>
      </c>
      <c r="M1215" s="2" t="str">
        <f>HYPERLINK("https://files.afu.se/Downloads/Transcripts/0%20-%20Government/USA%20-%20NASA%20Kennedy/2012 09 20 - NASA's Kennedy Space Center - Space Center Co-Exists With Nature_RXyzDUpE9Ks - transcript (automated).pdf","Transcript Link")</f>
        <v>Transcript Link</v>
      </c>
    </row>
    <row r="1216" ht="180" spans="1:13">
      <c r="A1216" s="1" t="s">
        <v>5630</v>
      </c>
      <c r="B1216" s="1" t="s">
        <v>13</v>
      </c>
      <c r="C1216" s="4" t="s">
        <v>5631</v>
      </c>
      <c r="D1216" s="1" t="s">
        <v>5632</v>
      </c>
      <c r="E1216" s="1" t="s">
        <v>5633</v>
      </c>
      <c r="F1216" s="4" t="s">
        <v>17</v>
      </c>
      <c r="G1216" s="1" t="s">
        <v>18</v>
      </c>
      <c r="H1216" s="1" t="s">
        <v>19</v>
      </c>
      <c r="I1216" s="1" t="s">
        <v>20</v>
      </c>
      <c r="J1216" s="1" t="s">
        <v>5634</v>
      </c>
      <c r="K1216" s="1" t="s">
        <v>22</v>
      </c>
      <c r="L1216" s="1" t="str">
        <f>HYPERLINK("https://files.afu.se/Downloads/Transcripts/0%20-%20Government/USA%20-%20NASA%20Kennedy/2012 09 19 - NASA's Kennedy Space Center - Space Shuttle Endeavour Heads West_JyuXA5rNUaQ - transcript (automated).pdf","Transcript Link")</f>
        <v>Transcript Link</v>
      </c>
      <c r="M1216" s="2" t="str">
        <f>HYPERLINK("https://files.afu.se/Downloads/Transcripts/0%20-%20Government/USA%20-%20NASA%20Kennedy/2012 09 19 - NASA's Kennedy Space Center - Space Shuttle Endeavour Heads West_JyuXA5rNUaQ - transcript (automated).pdf","Transcript Link")</f>
        <v>Transcript Link</v>
      </c>
    </row>
    <row r="1217" ht="180" spans="1:13">
      <c r="A1217" s="1" t="s">
        <v>5630</v>
      </c>
      <c r="B1217" s="1" t="s">
        <v>13</v>
      </c>
      <c r="C1217" s="4" t="s">
        <v>5635</v>
      </c>
      <c r="D1217" s="1" t="s">
        <v>5636</v>
      </c>
      <c r="E1217" s="1" t="s">
        <v>5637</v>
      </c>
      <c r="F1217" s="4" t="s">
        <v>17</v>
      </c>
      <c r="G1217" s="1" t="s">
        <v>18</v>
      </c>
      <c r="H1217" s="1" t="s">
        <v>19</v>
      </c>
      <c r="I1217" s="1" t="s">
        <v>20</v>
      </c>
      <c r="J1217" s="1" t="s">
        <v>5638</v>
      </c>
      <c r="K1217" s="1" t="s">
        <v>22</v>
      </c>
      <c r="L1217" s="1" t="str">
        <f>HYPERLINK("https://files.afu.se/Downloads/Transcripts/0%20-%20Government/USA%20-%20NASA%20Kennedy/2012 09 19 - NASA's Kennedy Space Center - Endeavour Begins Ferry Flight to LA_VUmeKMJn_Uc - transcript (automated).pdf","Transcript Link")</f>
        <v>Transcript Link</v>
      </c>
      <c r="M1217" s="2" t="str">
        <f>HYPERLINK("https://files.afu.se/Downloads/Transcripts/0%20-%20Government/USA%20-%20NASA%20Kennedy/2012 09 19 - NASA's Kennedy Space Center - Endeavour Begins Ferry Flight to LA_VUmeKMJn_Uc - transcript (automated).pdf","Transcript Link")</f>
        <v>Transcript Link</v>
      </c>
    </row>
    <row r="1218" ht="180" spans="1:13">
      <c r="A1218" s="1" t="s">
        <v>5639</v>
      </c>
      <c r="B1218" s="1" t="s">
        <v>13</v>
      </c>
      <c r="C1218" s="4" t="s">
        <v>5640</v>
      </c>
      <c r="D1218" s="1" t="s">
        <v>5641</v>
      </c>
      <c r="E1218" s="1" t="s">
        <v>5642</v>
      </c>
      <c r="F1218" s="4" t="s">
        <v>17</v>
      </c>
      <c r="G1218" s="1" t="s">
        <v>18</v>
      </c>
      <c r="H1218" s="1" t="s">
        <v>19</v>
      </c>
      <c r="I1218" s="1" t="s">
        <v>20</v>
      </c>
      <c r="J1218" s="1" t="s">
        <v>5643</v>
      </c>
      <c r="K1218" s="1" t="s">
        <v>22</v>
      </c>
      <c r="L1218" s="1" t="str">
        <f>HYPERLINK("https://files.afu.se/Downloads/Transcripts/0%20-%20Government/USA%20-%20NASA%20Kennedy/2012 09 18 - NASA's Kennedy Space Center - Endeavour Mated to SCA Time-Lapse_nDywZ-nhIb4 - transcript (automated).pdf","Transcript Link")</f>
        <v>Transcript Link</v>
      </c>
      <c r="M1218" s="2" t="str">
        <f>HYPERLINK("https://files.afu.se/Downloads/Transcripts/0%20-%20Government/USA%20-%20NASA%20Kennedy/2012 09 18 - NASA's Kennedy Space Center - Endeavour Mated to SCA Time-Lapse_nDywZ-nhIb4 - transcript (automated).pdf","Transcript Link")</f>
        <v>Transcript Link</v>
      </c>
    </row>
    <row r="1219" ht="180" spans="1:13">
      <c r="A1219" s="1" t="s">
        <v>5644</v>
      </c>
      <c r="B1219" s="1" t="s">
        <v>13</v>
      </c>
      <c r="C1219" s="4" t="s">
        <v>5645</v>
      </c>
      <c r="D1219" s="1" t="s">
        <v>5646</v>
      </c>
      <c r="E1219" s="1" t="s">
        <v>5647</v>
      </c>
      <c r="F1219" s="4" t="s">
        <v>17</v>
      </c>
      <c r="G1219" s="1" t="s">
        <v>18</v>
      </c>
      <c r="H1219" s="1" t="s">
        <v>19</v>
      </c>
      <c r="I1219" s="1" t="s">
        <v>20</v>
      </c>
      <c r="J1219" s="1" t="s">
        <v>5648</v>
      </c>
      <c r="K1219" s="1" t="s">
        <v>22</v>
      </c>
      <c r="L1219" s="1" t="str">
        <f>HYPERLINK("https://files.afu.se/Downloads/Transcripts/0%20-%20Government/USA%20-%20NASA%20Kennedy/2012 09 14 - NASA's Kennedy Space Center - Rocket U  Engineers Push New Limits_-A5W6aLuo4E - transcript (automated).pdf","Transcript Link")</f>
        <v>Transcript Link</v>
      </c>
      <c r="M1219" s="2" t="str">
        <f>HYPERLINK("https://files.afu.se/Downloads/Transcripts/0%20-%20Government/USA%20-%20NASA%20Kennedy/2012 09 14 - NASA's Kennedy Space Center - Rocket U  Engineers Push New Limits_-A5W6aLuo4E - transcript (automated).pdf","Transcript Link")</f>
        <v>Transcript Link</v>
      </c>
    </row>
    <row r="1220" ht="180" spans="1:13">
      <c r="A1220" s="1" t="s">
        <v>5644</v>
      </c>
      <c r="B1220" s="1" t="s">
        <v>13</v>
      </c>
      <c r="C1220" s="4" t="s">
        <v>5649</v>
      </c>
      <c r="D1220" s="1" t="s">
        <v>5650</v>
      </c>
      <c r="E1220" s="1" t="s">
        <v>5651</v>
      </c>
      <c r="F1220" s="4" t="s">
        <v>17</v>
      </c>
      <c r="G1220" s="1" t="s">
        <v>18</v>
      </c>
      <c r="H1220" s="1" t="s">
        <v>19</v>
      </c>
      <c r="I1220" s="1" t="s">
        <v>20</v>
      </c>
      <c r="J1220" s="1" t="s">
        <v>5652</v>
      </c>
      <c r="K1220" s="1" t="s">
        <v>22</v>
      </c>
      <c r="L1220" s="1" t="str">
        <f>HYPERLINK("https://files.afu.se/Downloads/Transcripts/0%20-%20Government/USA%20-%20NASA%20Kennedy/2012 09 14 - NASA's Kennedy Space Center - Endeavour's New Mission of Inspiration_K4J6iF6_L9Y - transcript (automated).pdf","Transcript Link")</f>
        <v>Transcript Link</v>
      </c>
      <c r="M1220" s="2" t="str">
        <f>HYPERLINK("https://files.afu.se/Downloads/Transcripts/0%20-%20Government/USA%20-%20NASA%20Kennedy/2012 09 14 - NASA's Kennedy Space Center - Endeavour's New Mission of Inspiration_K4J6iF6_L9Y - transcript (automated).pdf","Transcript Link")</f>
        <v>Transcript Link</v>
      </c>
    </row>
    <row r="1221" ht="180" spans="1:13">
      <c r="A1221" s="1" t="s">
        <v>5653</v>
      </c>
      <c r="B1221" s="1" t="s">
        <v>13</v>
      </c>
      <c r="C1221" s="4" t="s">
        <v>5654</v>
      </c>
      <c r="D1221" s="1" t="s">
        <v>5593</v>
      </c>
      <c r="E1221" s="1" t="s">
        <v>5594</v>
      </c>
      <c r="F1221" s="4" t="s">
        <v>17</v>
      </c>
      <c r="G1221" s="1" t="s">
        <v>18</v>
      </c>
      <c r="H1221" s="1" t="s">
        <v>19</v>
      </c>
      <c r="I1221" s="1" t="s">
        <v>20</v>
      </c>
      <c r="J1221" s="1" t="s">
        <v>5655</v>
      </c>
      <c r="K1221" s="1" t="s">
        <v>22</v>
      </c>
      <c r="L1221" s="1" t="str">
        <f>HYPERLINK("https://files.afu.se/Downloads/Transcripts/0%20-%20Government/USA%20-%20NASA%20Kennedy/2012 09 13 - NASA's Kennedy Space Center - Commercial Crew CCiCap Partners_1iivVQonV_0 - transcript (automated).pdf","Transcript Link")</f>
        <v>Transcript Link</v>
      </c>
      <c r="M1221" s="2" t="str">
        <f>HYPERLINK("https://files.afu.se/Downloads/Transcripts/0%20-%20Government/USA%20-%20NASA%20Kennedy/2012 09 13 - NASA's Kennedy Space Center - Commercial Crew CCiCap Partners_1iivVQonV_0 - transcript (automated).pdf","Transcript Link")</f>
        <v>Transcript Link</v>
      </c>
    </row>
    <row r="1222" ht="180" spans="1:13">
      <c r="A1222" s="1" t="s">
        <v>5656</v>
      </c>
      <c r="B1222" s="1" t="s">
        <v>13</v>
      </c>
      <c r="C1222" s="4" t="s">
        <v>5657</v>
      </c>
      <c r="D1222" s="1" t="s">
        <v>5658</v>
      </c>
      <c r="E1222" s="1" t="s">
        <v>5659</v>
      </c>
      <c r="F1222" s="4" t="s">
        <v>17</v>
      </c>
      <c r="G1222" s="1" t="s">
        <v>18</v>
      </c>
      <c r="H1222" s="1" t="s">
        <v>19</v>
      </c>
      <c r="I1222" s="1" t="s">
        <v>20</v>
      </c>
      <c r="J1222" s="1" t="s">
        <v>5660</v>
      </c>
      <c r="K1222" s="1" t="s">
        <v>22</v>
      </c>
      <c r="L1222" s="1" t="str">
        <f>HYPERLINK("https://files.afu.se/Downloads/Transcripts/0%20-%20Government/USA%20-%20NASA%20Kennedy/2012 09 12 - NASA's Kennedy Space Center - R2-D2 to Curiosity  Good Fiction to Great Science_y8IQw4dn-JE - transcript (automated).pdf","Transcript Link")</f>
        <v>Transcript Link</v>
      </c>
      <c r="M1222" s="2" t="str">
        <f>HYPERLINK("https://files.afu.se/Downloads/Transcripts/0%20-%20Government/USA%20-%20NASA%20Kennedy/2012 09 12 - NASA's Kennedy Space Center - R2-D2 to Curiosity  Good Fiction to Great Science_y8IQw4dn-JE - transcript (automated).pdf","Transcript Link")</f>
        <v>Transcript Link</v>
      </c>
    </row>
    <row r="1223" ht="180" spans="1:13">
      <c r="A1223" s="1" t="s">
        <v>5661</v>
      </c>
      <c r="B1223" s="1" t="s">
        <v>13</v>
      </c>
      <c r="C1223" s="4" t="s">
        <v>5662</v>
      </c>
      <c r="D1223" s="1" t="s">
        <v>5663</v>
      </c>
      <c r="E1223" s="1" t="s">
        <v>5664</v>
      </c>
      <c r="F1223" s="4" t="s">
        <v>17</v>
      </c>
      <c r="G1223" s="1" t="s">
        <v>18</v>
      </c>
      <c r="H1223" s="1" t="s">
        <v>19</v>
      </c>
      <c r="I1223" s="1" t="s">
        <v>20</v>
      </c>
      <c r="J1223" s="1" t="s">
        <v>5665</v>
      </c>
      <c r="K1223" s="1" t="s">
        <v>22</v>
      </c>
      <c r="L1223" s="1" t="str">
        <f>HYPERLINK("https://files.afu.se/Downloads/Transcripts/0%20-%20Government/USA%20-%20NASA%20Kennedy/2012 08 30 - NASA's Kennedy Space Center - NASA Launch Manager on RBSP Success_rMapGIBF3Gc - transcript (automated).pdf","Transcript Link")</f>
        <v>Transcript Link</v>
      </c>
      <c r="M1223" s="2" t="str">
        <f>HYPERLINK("https://files.afu.se/Downloads/Transcripts/0%20-%20Government/USA%20-%20NASA%20Kennedy/2012 08 30 - NASA's Kennedy Space Center - NASA Launch Manager on RBSP Success_rMapGIBF3Gc - transcript (automated).pdf","Transcript Link")</f>
        <v>Transcript Link</v>
      </c>
    </row>
    <row r="1224" ht="180" spans="1:13">
      <c r="A1224" s="1" t="s">
        <v>5661</v>
      </c>
      <c r="B1224" s="1" t="s">
        <v>13</v>
      </c>
      <c r="C1224" s="4" t="s">
        <v>5666</v>
      </c>
      <c r="D1224" s="1" t="s">
        <v>5667</v>
      </c>
      <c r="E1224" s="1" t="s">
        <v>5668</v>
      </c>
      <c r="F1224" s="4" t="s">
        <v>17</v>
      </c>
      <c r="G1224" s="1" t="s">
        <v>18</v>
      </c>
      <c r="H1224" s="1" t="s">
        <v>19</v>
      </c>
      <c r="I1224" s="1" t="s">
        <v>20</v>
      </c>
      <c r="J1224" s="1" t="s">
        <v>5669</v>
      </c>
      <c r="K1224" s="1" t="s">
        <v>22</v>
      </c>
      <c r="L1224" s="1" t="str">
        <f>HYPERLINK("https://files.afu.se/Downloads/Transcripts/0%20-%20Government/USA%20-%20NASA%20Kennedy/2012 08 30 - NASA's Kennedy Space Center - RBSP Twin Probes Reach Space_SvVbNbYtxYw - transcript (automated).pdf","Transcript Link")</f>
        <v>Transcript Link</v>
      </c>
      <c r="M1224" s="2" t="str">
        <f>HYPERLINK("https://files.afu.se/Downloads/Transcripts/0%20-%20Government/USA%20-%20NASA%20Kennedy/2012 08 30 - NASA's Kennedy Space Center - RBSP Twin Probes Reach Space_SvVbNbYtxYw - transcript (automated).pdf","Transcript Link")</f>
        <v>Transcript Link</v>
      </c>
    </row>
    <row r="1225" ht="180" spans="1:13">
      <c r="A1225" s="1" t="s">
        <v>5661</v>
      </c>
      <c r="B1225" s="1" t="s">
        <v>13</v>
      </c>
      <c r="C1225" s="4" t="s">
        <v>5670</v>
      </c>
      <c r="D1225" s="1" t="s">
        <v>5671</v>
      </c>
      <c r="E1225" s="1" t="s">
        <v>5672</v>
      </c>
      <c r="F1225" s="4" t="s">
        <v>17</v>
      </c>
      <c r="G1225" s="1" t="s">
        <v>18</v>
      </c>
      <c r="H1225" s="1" t="s">
        <v>19</v>
      </c>
      <c r="I1225" s="1" t="s">
        <v>20</v>
      </c>
      <c r="J1225" s="1" t="s">
        <v>5673</v>
      </c>
      <c r="K1225" s="1" t="s">
        <v>22</v>
      </c>
      <c r="L1225" s="1" t="str">
        <f>HYPERLINK("https://files.afu.se/Downloads/Transcripts/0%20-%20Government/USA%20-%20NASA%20Kennedy/2012 08 30 - NASA's Kennedy Space Center - Launch Team Gives  Go  to RBSP_R4qiBeCCig0 - transcript (automated).pdf","Transcript Link")</f>
        <v>Transcript Link</v>
      </c>
      <c r="M1225" s="2" t="str">
        <f>HYPERLINK("https://files.afu.se/Downloads/Transcripts/0%20-%20Government/USA%20-%20NASA%20Kennedy/2012 08 30 - NASA's Kennedy Space Center - Launch Team Gives  Go  to RBSP_R4qiBeCCig0 - transcript (automated).pdf","Transcript Link")</f>
        <v>Transcript Link</v>
      </c>
    </row>
    <row r="1226" ht="180" spans="1:13">
      <c r="A1226" s="1" t="s">
        <v>5661</v>
      </c>
      <c r="B1226" s="1" t="s">
        <v>13</v>
      </c>
      <c r="C1226" s="4" t="s">
        <v>5674</v>
      </c>
      <c r="D1226" s="1" t="s">
        <v>5675</v>
      </c>
      <c r="E1226" s="1" t="s">
        <v>5676</v>
      </c>
      <c r="F1226" s="4" t="s">
        <v>17</v>
      </c>
      <c r="G1226" s="1" t="s">
        <v>18</v>
      </c>
      <c r="H1226" s="1" t="s">
        <v>19</v>
      </c>
      <c r="I1226" s="1" t="s">
        <v>20</v>
      </c>
      <c r="J1226" s="1" t="s">
        <v>5677</v>
      </c>
      <c r="K1226" s="1" t="s">
        <v>22</v>
      </c>
      <c r="L1226" s="1" t="str">
        <f>HYPERLINK("https://files.afu.se/Downloads/Transcripts/0%20-%20Government/USA%20-%20NASA%20Kennedy/2012 08 30 - NASA's Kennedy Space Center - Launch of RBSP_9mlaQothGWA - transcript (automated).pdf","Transcript Link")</f>
        <v>Transcript Link</v>
      </c>
      <c r="M1226" s="2" t="str">
        <f>HYPERLINK("https://files.afu.se/Downloads/Transcripts/0%20-%20Government/USA%20-%20NASA%20Kennedy/2012 08 30 - NASA's Kennedy Space Center - Launch of RBSP_9mlaQothGWA - transcript (automated).pdf","Transcript Link")</f>
        <v>Transcript Link</v>
      </c>
    </row>
    <row r="1227" ht="180" spans="1:13">
      <c r="A1227" s="1" t="s">
        <v>5661</v>
      </c>
      <c r="B1227" s="1" t="s">
        <v>13</v>
      </c>
      <c r="C1227" s="4" t="s">
        <v>5678</v>
      </c>
      <c r="D1227" s="1" t="s">
        <v>5679</v>
      </c>
      <c r="E1227" s="1" t="s">
        <v>5680</v>
      </c>
      <c r="F1227" s="4" t="s">
        <v>17</v>
      </c>
      <c r="G1227" s="1" t="s">
        <v>18</v>
      </c>
      <c r="H1227" s="1" t="s">
        <v>19</v>
      </c>
      <c r="I1227" s="1" t="s">
        <v>20</v>
      </c>
      <c r="J1227" s="1" t="s">
        <v>5681</v>
      </c>
      <c r="K1227" s="1" t="s">
        <v>22</v>
      </c>
      <c r="L1227" s="1" t="str">
        <f>HYPERLINK("https://files.afu.se/Downloads/Transcripts/0%20-%20Government/USA%20-%20NASA%20Kennedy/2012 08 30 - NASA's Kennedy Space Center - RBSP Launch Coverage Begins_2AXv-FO5dtE - transcript (automated).pdf","Transcript Link")</f>
        <v>Transcript Link</v>
      </c>
      <c r="M1227" s="2" t="str">
        <f>HYPERLINK("https://files.afu.se/Downloads/Transcripts/0%20-%20Government/USA%20-%20NASA%20Kennedy/2012 08 30 - NASA's Kennedy Space Center - RBSP Launch Coverage Begins_2AXv-FO5dtE - transcript (automated).pdf","Transcript Link")</f>
        <v>Transcript Link</v>
      </c>
    </row>
    <row r="1228" ht="180" spans="1:13">
      <c r="A1228" s="1" t="s">
        <v>5682</v>
      </c>
      <c r="B1228" s="1" t="s">
        <v>13</v>
      </c>
      <c r="C1228" s="4" t="s">
        <v>5683</v>
      </c>
      <c r="D1228" s="1" t="s">
        <v>5684</v>
      </c>
      <c r="E1228" s="1" t="s">
        <v>5685</v>
      </c>
      <c r="F1228" s="4" t="s">
        <v>17</v>
      </c>
      <c r="G1228" s="1" t="s">
        <v>18</v>
      </c>
      <c r="H1228" s="1" t="s">
        <v>19</v>
      </c>
      <c r="I1228" s="1" t="s">
        <v>20</v>
      </c>
      <c r="J1228" s="1" t="s">
        <v>5686</v>
      </c>
      <c r="K1228" s="1" t="s">
        <v>22</v>
      </c>
      <c r="L1228" s="1" t="str">
        <f>HYPERLINK("https://files.afu.se/Downloads/Transcripts/0%20-%20Government/USA%20-%20NASA%20Kennedy/2012 08 25 - NASA's Kennedy Space Center - RBSP Second Launch Attempt Scrubbed for Weather_-As3rpz115A - transcript (automated).pdf","Transcript Link")</f>
        <v>Transcript Link</v>
      </c>
      <c r="M1228" s="2" t="str">
        <f>HYPERLINK("https://files.afu.se/Downloads/Transcripts/0%20-%20Government/USA%20-%20NASA%20Kennedy/2012 08 25 - NASA's Kennedy Space Center - RBSP Second Launch Attempt Scrubbed for Weather_-As3rpz115A - transcript (automated).pdf","Transcript Link")</f>
        <v>Transcript Link</v>
      </c>
    </row>
    <row r="1229" ht="180" spans="1:13">
      <c r="A1229" s="1" t="s">
        <v>5687</v>
      </c>
      <c r="B1229" s="1" t="s">
        <v>13</v>
      </c>
      <c r="C1229" s="4" t="s">
        <v>5688</v>
      </c>
      <c r="D1229" s="1" t="s">
        <v>5689</v>
      </c>
      <c r="E1229" s="1" t="s">
        <v>5690</v>
      </c>
      <c r="F1229" s="4" t="s">
        <v>17</v>
      </c>
      <c r="G1229" s="1" t="s">
        <v>18</v>
      </c>
      <c r="H1229" s="1" t="s">
        <v>19</v>
      </c>
      <c r="I1229" s="1" t="s">
        <v>20</v>
      </c>
      <c r="J1229" s="1" t="s">
        <v>5691</v>
      </c>
      <c r="K1229" s="1" t="s">
        <v>22</v>
      </c>
      <c r="L1229" s="1" t="str">
        <f>HYPERLINK("https://files.afu.se/Downloads/Transcripts/0%20-%20Government/USA%20-%20NASA%20Kennedy/2012 08 24 - NASA's Kennedy Space Center - RBSP Launch Attempt Scrubbed_at9o_gjBrEU - transcript (automated).pdf","Transcript Link")</f>
        <v>Transcript Link</v>
      </c>
      <c r="M1229" s="2" t="str">
        <f>HYPERLINK("https://files.afu.se/Downloads/Transcripts/0%20-%20Government/USA%20-%20NASA%20Kennedy/2012 08 24 - NASA's Kennedy Space Center - RBSP Launch Attempt Scrubbed_at9o_gjBrEU - transcript (automated).pdf","Transcript Link")</f>
        <v>Transcript Link</v>
      </c>
    </row>
    <row r="1230" ht="180" spans="1:13">
      <c r="A1230" s="1" t="s">
        <v>5692</v>
      </c>
      <c r="B1230" s="1" t="s">
        <v>13</v>
      </c>
      <c r="C1230" s="4" t="s">
        <v>5693</v>
      </c>
      <c r="D1230" s="1" t="s">
        <v>5694</v>
      </c>
      <c r="E1230" s="1" t="s">
        <v>5695</v>
      </c>
      <c r="F1230" s="4" t="s">
        <v>17</v>
      </c>
      <c r="G1230" s="1" t="s">
        <v>18</v>
      </c>
      <c r="H1230" s="1" t="s">
        <v>19</v>
      </c>
      <c r="I1230" s="1" t="s">
        <v>20</v>
      </c>
      <c r="J1230" s="1" t="s">
        <v>5696</v>
      </c>
      <c r="K1230" s="1" t="s">
        <v>22</v>
      </c>
      <c r="L1230" s="1" t="str">
        <f>HYPERLINK("https://files.afu.se/Downloads/Transcripts/0%20-%20Government/USA%20-%20NASA%20Kennedy/2012 08 23 - NASA's Kennedy Space Center - Tour Kennedy Space Center Virtually_H7Gfoxs3TEk - transcript (automated).pdf","Transcript Link")</f>
        <v>Transcript Link</v>
      </c>
      <c r="M1230" s="2" t="str">
        <f>HYPERLINK("https://files.afu.se/Downloads/Transcripts/0%20-%20Government/USA%20-%20NASA%20Kennedy/2012 08 23 - NASA's Kennedy Space Center - Tour Kennedy Space Center Virtually_H7Gfoxs3TEk - transcript (automated).pdf","Transcript Link")</f>
        <v>Transcript Link</v>
      </c>
    </row>
    <row r="1231" ht="180" spans="1:13">
      <c r="A1231" s="1" t="s">
        <v>5697</v>
      </c>
      <c r="B1231" s="1" t="s">
        <v>13</v>
      </c>
      <c r="C1231" s="4" t="s">
        <v>5698</v>
      </c>
      <c r="D1231" s="1" t="s">
        <v>5699</v>
      </c>
      <c r="E1231" s="1" t="s">
        <v>5700</v>
      </c>
      <c r="F1231" s="4" t="s">
        <v>17</v>
      </c>
      <c r="G1231" s="1" t="s">
        <v>18</v>
      </c>
      <c r="H1231" s="1" t="s">
        <v>19</v>
      </c>
      <c r="I1231" s="1" t="s">
        <v>20</v>
      </c>
      <c r="J1231" s="1" t="s">
        <v>5701</v>
      </c>
      <c r="K1231" s="1" t="s">
        <v>22</v>
      </c>
      <c r="L1231" s="1" t="str">
        <f>HYPERLINK("https://files.afu.se/Downloads/Transcripts/0%20-%20Government/USA%20-%20NASA%20Kennedy/2012 08 22 - NASA's Kennedy Space Center - RBSP  Studying the Sun's Influence on Earth_a6mC2TsTq-A - transcript (automated).pdf","Transcript Link")</f>
        <v>Transcript Link</v>
      </c>
      <c r="M1231" s="2" t="str">
        <f>HYPERLINK("https://files.afu.se/Downloads/Transcripts/0%20-%20Government/USA%20-%20NASA%20Kennedy/2012 08 22 - NASA's Kennedy Space Center - RBSP  Studying the Sun's Influence on Earth_a6mC2TsTq-A - transcript (automated).pdf","Transcript Link")</f>
        <v>Transcript Link</v>
      </c>
    </row>
    <row r="1232" ht="180" spans="1:13">
      <c r="A1232" s="1" t="s">
        <v>5702</v>
      </c>
      <c r="B1232" s="1" t="s">
        <v>13</v>
      </c>
      <c r="C1232" s="4" t="s">
        <v>5703</v>
      </c>
      <c r="D1232" s="1" t="s">
        <v>5704</v>
      </c>
      <c r="E1232" s="1" t="s">
        <v>5705</v>
      </c>
      <c r="F1232" s="4" t="s">
        <v>17</v>
      </c>
      <c r="G1232" s="1" t="s">
        <v>18</v>
      </c>
      <c r="H1232" s="1" t="s">
        <v>19</v>
      </c>
      <c r="I1232" s="1" t="s">
        <v>20</v>
      </c>
      <c r="J1232" s="1" t="s">
        <v>5706</v>
      </c>
      <c r="K1232" s="1" t="s">
        <v>22</v>
      </c>
      <c r="L1232" s="1" t="str">
        <f>HYPERLINK("https://files.afu.se/Downloads/Transcripts/0%20-%20Government/USA%20-%20NASA%20Kennedy/2012 08 21 - NASA's Kennedy Space Center - RBSP  Ready For Launch_H41R9qX6gzg - transcript (automated).pdf","Transcript Link")</f>
        <v>Transcript Link</v>
      </c>
      <c r="M1232" s="2" t="str">
        <f>HYPERLINK("https://files.afu.se/Downloads/Transcripts/0%20-%20Government/USA%20-%20NASA%20Kennedy/2012 08 21 - NASA's Kennedy Space Center - RBSP  Ready For Launch_H41R9qX6gzg - transcript (automated).pdf","Transcript Link")</f>
        <v>Transcript Link</v>
      </c>
    </row>
    <row r="1233" ht="180" spans="1:13">
      <c r="A1233" s="1" t="s">
        <v>5707</v>
      </c>
      <c r="B1233" s="1" t="s">
        <v>13</v>
      </c>
      <c r="C1233" s="4" t="s">
        <v>5708</v>
      </c>
      <c r="D1233" s="1" t="s">
        <v>5709</v>
      </c>
      <c r="E1233" s="1" t="s">
        <v>5710</v>
      </c>
      <c r="F1233" s="4" t="s">
        <v>17</v>
      </c>
      <c r="G1233" s="1" t="s">
        <v>18</v>
      </c>
      <c r="H1233" s="1" t="s">
        <v>19</v>
      </c>
      <c r="I1233" s="1" t="s">
        <v>20</v>
      </c>
      <c r="J1233" s="1" t="s">
        <v>5711</v>
      </c>
      <c r="K1233" s="1" t="s">
        <v>22</v>
      </c>
      <c r="L1233" s="1" t="str">
        <f>HYPERLINK("https://files.afu.se/Downloads/Transcripts/0%20-%20Government/USA%20-%20NASA%20Kennedy/2012 08 20 - NASA's Kennedy Space Center - National Space Club Florida_QAgBOJAwmFk - transcript (automated).pdf","Transcript Link")</f>
        <v>Transcript Link</v>
      </c>
      <c r="M1233" s="2" t="str">
        <f>HYPERLINK("https://files.afu.se/Downloads/Transcripts/0%20-%20Government/USA%20-%20NASA%20Kennedy/2012 08 20 - NASA's Kennedy Space Center - National Space Club Florida_QAgBOJAwmFk - transcript (automated).pdf","Transcript Link")</f>
        <v>Transcript Link</v>
      </c>
    </row>
    <row r="1234" ht="180" spans="1:13">
      <c r="A1234" s="1" t="s">
        <v>5712</v>
      </c>
      <c r="B1234" s="1" t="s">
        <v>13</v>
      </c>
      <c r="C1234" s="4" t="s">
        <v>5713</v>
      </c>
      <c r="D1234" s="1" t="s">
        <v>5714</v>
      </c>
      <c r="E1234" s="1" t="s">
        <v>5710</v>
      </c>
      <c r="F1234" s="4" t="s">
        <v>17</v>
      </c>
      <c r="G1234" s="1" t="s">
        <v>18</v>
      </c>
      <c r="H1234" s="1" t="s">
        <v>19</v>
      </c>
      <c r="I1234" s="1" t="s">
        <v>20</v>
      </c>
      <c r="J1234" s="1" t="s">
        <v>5715</v>
      </c>
      <c r="K1234" s="1" t="s">
        <v>22</v>
      </c>
      <c r="L1234" s="1" t="str">
        <f>HYPERLINK("https://files.afu.se/Downloads/Transcripts/0%20-%20Government/USA%20-%20NASA%20Kennedy/2012 08 16 - NASA's Kennedy Space Center - CCP Trailer_ZJSB4eaZvO4 - transcript (automated).pdf","Transcript Link")</f>
        <v>Transcript Link</v>
      </c>
      <c r="M1234" s="2" t="str">
        <f>HYPERLINK("https://files.afu.se/Downloads/Transcripts/0%20-%20Government/USA%20-%20NASA%20Kennedy/2012 08 16 - NASA's Kennedy Space Center - CCP Trailer_ZJSB4eaZvO4 - transcript (automated).pdf","Transcript Link")</f>
        <v>Transcript Link</v>
      </c>
    </row>
    <row r="1235" ht="180" spans="1:13">
      <c r="A1235" s="1" t="s">
        <v>5716</v>
      </c>
      <c r="B1235" s="1" t="s">
        <v>13</v>
      </c>
      <c r="C1235" s="4" t="s">
        <v>5717</v>
      </c>
      <c r="D1235" s="1" t="s">
        <v>5718</v>
      </c>
      <c r="E1235" s="1" t="s">
        <v>5719</v>
      </c>
      <c r="F1235" s="4" t="s">
        <v>17</v>
      </c>
      <c r="G1235" s="1" t="s">
        <v>18</v>
      </c>
      <c r="H1235" s="1" t="s">
        <v>19</v>
      </c>
      <c r="I1235" s="1" t="s">
        <v>20</v>
      </c>
      <c r="J1235" s="1" t="s">
        <v>5720</v>
      </c>
      <c r="K1235" s="1" t="s">
        <v>22</v>
      </c>
      <c r="L1235" s="1" t="str">
        <f>HYPERLINK("https://files.afu.se/Downloads/Transcripts/0%20-%20Government/USA%20-%20NASA%20Kennedy/2012 08 15 - NASA's Kennedy Space Center - In Their Own Words  Nicole Stott_z2z-H3AFbIk - transcript (automated).pdf","Transcript Link")</f>
        <v>Transcript Link</v>
      </c>
      <c r="M1235" s="2" t="str">
        <f>HYPERLINK("https://files.afu.se/Downloads/Transcripts/0%20-%20Government/USA%20-%20NASA%20Kennedy/2012 08 15 - NASA's Kennedy Space Center - In Their Own Words  Nicole Stott_z2z-H3AFbIk - transcript (automated).pdf","Transcript Link")</f>
        <v>Transcript Link</v>
      </c>
    </row>
    <row r="1236" ht="180" spans="1:13">
      <c r="A1236" s="1" t="s">
        <v>5716</v>
      </c>
      <c r="B1236" s="1" t="s">
        <v>13</v>
      </c>
      <c r="C1236" s="4" t="s">
        <v>5721</v>
      </c>
      <c r="D1236" s="1" t="s">
        <v>5722</v>
      </c>
      <c r="E1236" s="1" t="s">
        <v>5710</v>
      </c>
      <c r="F1236" s="4" t="s">
        <v>17</v>
      </c>
      <c r="G1236" s="1" t="s">
        <v>18</v>
      </c>
      <c r="H1236" s="1" t="s">
        <v>19</v>
      </c>
      <c r="I1236" s="1" t="s">
        <v>20</v>
      </c>
      <c r="J1236" s="1" t="s">
        <v>5723</v>
      </c>
      <c r="K1236" s="1" t="s">
        <v>22</v>
      </c>
      <c r="L1236" s="1" t="str">
        <f>HYPERLINK("https://files.afu.se/Downloads/Transcripts/0%20-%20Government/USA%20-%20NASA%20Kennedy/2012 08 15 - NASA's Kennedy Space Center - NASA's Mars Science Laboratory (MSL) Final Countdown to Launch_4_ul4_9rzPI - transcript (automated).pdf","Transcript Link")</f>
        <v>Transcript Link</v>
      </c>
      <c r="M1236" s="2" t="str">
        <f>HYPERLINK("https://files.afu.se/Downloads/Transcripts/0%20-%20Government/USA%20-%20NASA%20Kennedy/2012 08 15 - NASA's Kennedy Space Center - NASA's Mars Science Laboratory (MSL) Final Countdown to Launch_4_ul4_9rzPI - transcript (automated).pdf","Transcript Link")</f>
        <v>Transcript Link</v>
      </c>
    </row>
    <row r="1237" ht="180" spans="1:13">
      <c r="A1237" s="1" t="s">
        <v>5724</v>
      </c>
      <c r="B1237" s="1" t="s">
        <v>13</v>
      </c>
      <c r="C1237" s="4" t="s">
        <v>5725</v>
      </c>
      <c r="D1237" s="1" t="s">
        <v>5726</v>
      </c>
      <c r="E1237" s="1" t="s">
        <v>5727</v>
      </c>
      <c r="F1237" s="4" t="s">
        <v>17</v>
      </c>
      <c r="G1237" s="1" t="s">
        <v>18</v>
      </c>
      <c r="H1237" s="1" t="s">
        <v>19</v>
      </c>
      <c r="I1237" s="1" t="s">
        <v>20</v>
      </c>
      <c r="J1237" s="1" t="s">
        <v>5728</v>
      </c>
      <c r="K1237" s="1" t="s">
        <v>22</v>
      </c>
      <c r="L1237" s="1" t="str">
        <f>HYPERLINK("https://files.afu.se/Downloads/Transcripts/0%20-%20Government/USA%20-%20NASA%20Kennedy/2012 08 07 - NASA's Kennedy Space Center - International Space University Closing Ceremony - 2012_B0gJeMd1KHc - transcript (automated).pdf","Transcript Link")</f>
        <v>Transcript Link</v>
      </c>
      <c r="M1237" s="2" t="str">
        <f>HYPERLINK("https://files.afu.se/Downloads/Transcripts/0%20-%20Government/USA%20-%20NASA%20Kennedy/2012 08 07 - NASA's Kennedy Space Center - International Space University Closing Ceremony - 2012_B0gJeMd1KHc - transcript (automated).pdf","Transcript Link")</f>
        <v>Transcript Link</v>
      </c>
    </row>
    <row r="1238" ht="180" spans="1:13">
      <c r="A1238" s="1" t="s">
        <v>5729</v>
      </c>
      <c r="B1238" s="1" t="s">
        <v>13</v>
      </c>
      <c r="C1238" s="4" t="s">
        <v>5730</v>
      </c>
      <c r="D1238" s="1" t="s">
        <v>5731</v>
      </c>
      <c r="F1238" s="4" t="s">
        <v>17</v>
      </c>
      <c r="G1238" s="1" t="s">
        <v>18</v>
      </c>
      <c r="H1238" s="1" t="s">
        <v>19</v>
      </c>
      <c r="I1238" s="1" t="s">
        <v>20</v>
      </c>
      <c r="J1238" s="1" t="s">
        <v>5732</v>
      </c>
      <c r="K1238" s="1" t="s">
        <v>22</v>
      </c>
      <c r="L1238" s="1" t="str">
        <f>HYPERLINK("https://files.afu.se/Downloads/Transcripts/0%20-%20Government/USA%20-%20NASA%20Kennedy/2012 08 04 - NASA's Kennedy Space Center - NASA Announces Next Steps in Effort to Launch Americans from U.S. Soil_u25lBSHAsCU - transcript (automated).pdf","Transcript Link")</f>
        <v>Transcript Link</v>
      </c>
      <c r="M1238" s="2" t="str">
        <f>HYPERLINK("https://files.afu.se/Downloads/Transcripts/0%20-%20Government/USA%20-%20NASA%20Kennedy/2012 08 04 - NASA's Kennedy Space Center - NASA Announces Next Steps in Effort to Launch Americans from U.S. Soil_u25lBSHAsCU - transcript (automated).pdf","Transcript Link")</f>
        <v>Transcript Link</v>
      </c>
    </row>
    <row r="1239" ht="180" spans="1:13">
      <c r="A1239" s="1" t="s">
        <v>5733</v>
      </c>
      <c r="B1239" s="1" t="s">
        <v>13</v>
      </c>
      <c r="C1239" s="4" t="s">
        <v>5734</v>
      </c>
      <c r="D1239" s="1" t="s">
        <v>5735</v>
      </c>
      <c r="E1239" s="1" t="s">
        <v>5736</v>
      </c>
      <c r="F1239" s="4" t="s">
        <v>17</v>
      </c>
      <c r="G1239" s="1" t="s">
        <v>18</v>
      </c>
      <c r="H1239" s="1" t="s">
        <v>19</v>
      </c>
      <c r="I1239" s="1" t="s">
        <v>20</v>
      </c>
      <c r="J1239" s="1" t="s">
        <v>5737</v>
      </c>
      <c r="K1239" s="1" t="s">
        <v>22</v>
      </c>
      <c r="L1239" s="1" t="str">
        <f>HYPERLINK("https://files.afu.se/Downloads/Transcripts/0%20-%20Government/USA%20-%20NASA%20Kennedy/2012 08 03 - NASA's Kennedy Space Center - CCiCap  SNC_CMMDGatv2lE - transcript (automated).pdf","Transcript Link")</f>
        <v>Transcript Link</v>
      </c>
      <c r="M1239" s="2" t="str">
        <f>HYPERLINK("https://files.afu.se/Downloads/Transcripts/0%20-%20Government/USA%20-%20NASA%20Kennedy/2012 08 03 - NASA's Kennedy Space Center - CCiCap  SNC_CMMDGatv2lE - transcript (automated).pdf","Transcript Link")</f>
        <v>Transcript Link</v>
      </c>
    </row>
    <row r="1240" ht="180" spans="1:13">
      <c r="A1240" s="1" t="s">
        <v>5733</v>
      </c>
      <c r="B1240" s="1" t="s">
        <v>13</v>
      </c>
      <c r="C1240" s="4" t="s">
        <v>5738</v>
      </c>
      <c r="D1240" s="1" t="s">
        <v>5739</v>
      </c>
      <c r="E1240" s="1" t="s">
        <v>5736</v>
      </c>
      <c r="F1240" s="4" t="s">
        <v>17</v>
      </c>
      <c r="G1240" s="1" t="s">
        <v>18</v>
      </c>
      <c r="H1240" s="1" t="s">
        <v>19</v>
      </c>
      <c r="I1240" s="1" t="s">
        <v>20</v>
      </c>
      <c r="J1240" s="1" t="s">
        <v>5740</v>
      </c>
      <c r="K1240" s="1" t="s">
        <v>22</v>
      </c>
      <c r="L1240" s="1" t="str">
        <f>HYPERLINK("https://files.afu.se/Downloads/Transcripts/0%20-%20Government/USA%20-%20NASA%20Kennedy/2012 08 03 - NASA's Kennedy Space Center - CCiCap  Boeing_FiqeUx6s81A - transcript (automated).pdf","Transcript Link")</f>
        <v>Transcript Link</v>
      </c>
      <c r="M1240" s="2" t="str">
        <f>HYPERLINK("https://files.afu.se/Downloads/Transcripts/0%20-%20Government/USA%20-%20NASA%20Kennedy/2012 08 03 - NASA's Kennedy Space Center - CCiCap  Boeing_FiqeUx6s81A - transcript (automated).pdf","Transcript Link")</f>
        <v>Transcript Link</v>
      </c>
    </row>
    <row r="1241" ht="180" spans="1:13">
      <c r="A1241" s="1" t="s">
        <v>5733</v>
      </c>
      <c r="B1241" s="1" t="s">
        <v>13</v>
      </c>
      <c r="C1241" s="4" t="s">
        <v>5741</v>
      </c>
      <c r="D1241" s="1" t="s">
        <v>5742</v>
      </c>
      <c r="E1241" s="1" t="s">
        <v>5736</v>
      </c>
      <c r="F1241" s="4" t="s">
        <v>17</v>
      </c>
      <c r="G1241" s="1" t="s">
        <v>18</v>
      </c>
      <c r="H1241" s="1" t="s">
        <v>19</v>
      </c>
      <c r="I1241" s="1" t="s">
        <v>20</v>
      </c>
      <c r="J1241" s="1" t="s">
        <v>5743</v>
      </c>
      <c r="K1241" s="1" t="s">
        <v>22</v>
      </c>
      <c r="L1241" s="1" t="str">
        <f>HYPERLINK("https://files.afu.se/Downloads/Transcripts/0%20-%20Government/USA%20-%20NASA%20Kennedy/2012 08 03 - NASA's Kennedy Space Center - CCiCap  SpaceX_UiRXVmx4RO8 - transcript (automated).pdf","Transcript Link")</f>
        <v>Transcript Link</v>
      </c>
      <c r="M1241" s="2" t="str">
        <f>HYPERLINK("https://files.afu.se/Downloads/Transcripts/0%20-%20Government/USA%20-%20NASA%20Kennedy/2012 08 03 - NASA's Kennedy Space Center - CCiCap  SpaceX_UiRXVmx4RO8 - transcript (automated).pdf","Transcript Link")</f>
        <v>Transcript Link</v>
      </c>
    </row>
    <row r="1242" ht="180" spans="1:13">
      <c r="A1242" s="1" t="s">
        <v>5744</v>
      </c>
      <c r="B1242" s="1" t="s">
        <v>13</v>
      </c>
      <c r="C1242" s="4" t="s">
        <v>5745</v>
      </c>
      <c r="D1242" s="1" t="s">
        <v>5746</v>
      </c>
      <c r="E1242" s="1" t="s">
        <v>5747</v>
      </c>
      <c r="F1242" s="4" t="s">
        <v>17</v>
      </c>
      <c r="G1242" s="1" t="s">
        <v>18</v>
      </c>
      <c r="H1242" s="1" t="s">
        <v>19</v>
      </c>
      <c r="I1242" s="1" t="s">
        <v>20</v>
      </c>
      <c r="J1242" s="1" t="s">
        <v>5748</v>
      </c>
      <c r="K1242" s="1" t="s">
        <v>22</v>
      </c>
      <c r="L1242" s="1" t="str">
        <f>HYPERLINK("https://files.afu.se/Downloads/Transcripts/0%20-%20Government/USA%20-%20NASA%20Kennedy/2012 08 02 - NASA's Kennedy Space Center - Google Maps in Partnership with NASA_uJCwEFX2yRY - transcript (automated).pdf","Transcript Link")</f>
        <v>Transcript Link</v>
      </c>
      <c r="M1242" s="2" t="str">
        <f>HYPERLINK("https://files.afu.se/Downloads/Transcripts/0%20-%20Government/USA%20-%20NASA%20Kennedy/2012 08 02 - NASA's Kennedy Space Center - Google Maps in Partnership with NASA_uJCwEFX2yRY - transcript (automated).pdf","Transcript Link")</f>
        <v>Transcript Link</v>
      </c>
    </row>
    <row r="1243" ht="180" spans="1:13">
      <c r="A1243" s="1" t="s">
        <v>5749</v>
      </c>
      <c r="B1243" s="1" t="s">
        <v>13</v>
      </c>
      <c r="C1243" s="4" t="s">
        <v>5750</v>
      </c>
      <c r="D1243" s="1" t="s">
        <v>5751</v>
      </c>
      <c r="E1243" s="1" t="s">
        <v>5752</v>
      </c>
      <c r="F1243" s="4" t="s">
        <v>17</v>
      </c>
      <c r="G1243" s="1" t="s">
        <v>18</v>
      </c>
      <c r="H1243" s="1" t="s">
        <v>19</v>
      </c>
      <c r="I1243" s="1" t="s">
        <v>20</v>
      </c>
      <c r="J1243" s="1" t="s">
        <v>5753</v>
      </c>
      <c r="K1243" s="1" t="s">
        <v>22</v>
      </c>
      <c r="L1243" s="1" t="str">
        <f>HYPERLINK("https://files.afu.se/Downloads/Transcripts/0%20-%20Government/USA%20-%20NASA%20Kennedy/2012 07 20 - NASA's Kennedy Space Center - Markers Preserve History at Shuttle Runway_AHUDQ30slCU - transcript (automated).pdf","Transcript Link")</f>
        <v>Transcript Link</v>
      </c>
      <c r="M1243" s="2" t="str">
        <f>HYPERLINK("https://files.afu.se/Downloads/Transcripts/0%20-%20Government/USA%20-%20NASA%20Kennedy/2012 07 20 - NASA's Kennedy Space Center - Markers Preserve History at Shuttle Runway_AHUDQ30slCU - transcript (automated).pdf","Transcript Link")</f>
        <v>Transcript Link</v>
      </c>
    </row>
    <row r="1244" ht="180" spans="1:13">
      <c r="A1244" s="1" t="s">
        <v>5754</v>
      </c>
      <c r="B1244" s="1" t="s">
        <v>13</v>
      </c>
      <c r="C1244" s="4" t="s">
        <v>5755</v>
      </c>
      <c r="D1244" s="1" t="s">
        <v>5756</v>
      </c>
      <c r="E1244" s="1" t="s">
        <v>5757</v>
      </c>
      <c r="F1244" s="4" t="s">
        <v>17</v>
      </c>
      <c r="G1244" s="1" t="s">
        <v>18</v>
      </c>
      <c r="H1244" s="1" t="s">
        <v>19</v>
      </c>
      <c r="I1244" s="1" t="s">
        <v>20</v>
      </c>
      <c r="J1244" s="1" t="s">
        <v>5758</v>
      </c>
      <c r="K1244" s="1" t="s">
        <v>22</v>
      </c>
      <c r="L1244" s="1" t="str">
        <f>HYPERLINK("https://files.afu.se/Downloads/Transcripts/0%20-%20Government/USA%20-%20NASA%20Kennedy/2012 07 13 - NASA's Kennedy Space Center - MSL Launch and Landing_WujwkKxR-e4 - transcript (automated).pdf","Transcript Link")</f>
        <v>Transcript Link</v>
      </c>
      <c r="M1244" s="2" t="str">
        <f>HYPERLINK("https://files.afu.se/Downloads/Transcripts/0%20-%20Government/USA%20-%20NASA%20Kennedy/2012 07 13 - NASA's Kennedy Space Center - MSL Launch and Landing_WujwkKxR-e4 - transcript (automated).pdf","Transcript Link")</f>
        <v>Transcript Link</v>
      </c>
    </row>
    <row r="1245" ht="180" spans="1:13">
      <c r="A1245" s="1" t="s">
        <v>5754</v>
      </c>
      <c r="B1245" s="1" t="s">
        <v>13</v>
      </c>
      <c r="C1245" s="4" t="s">
        <v>5759</v>
      </c>
      <c r="D1245" s="1" t="s">
        <v>5760</v>
      </c>
      <c r="E1245" s="1" t="s">
        <v>5761</v>
      </c>
      <c r="F1245" s="4" t="s">
        <v>17</v>
      </c>
      <c r="G1245" s="1" t="s">
        <v>18</v>
      </c>
      <c r="H1245" s="1" t="s">
        <v>19</v>
      </c>
      <c r="I1245" s="1" t="s">
        <v>20</v>
      </c>
      <c r="J1245" s="1" t="s">
        <v>5762</v>
      </c>
      <c r="K1245" s="1" t="s">
        <v>22</v>
      </c>
      <c r="L1245" s="1" t="str">
        <f>HYPERLINK("https://files.afu.se/Downloads/Transcripts/0%20-%20Government/USA%20-%20NASA%20Kennedy/2012 07 13 - NASA's Kennedy Space Center - Resolve Rover Begins Testing_NbaNleplrjs - transcript (automated).pdf","Transcript Link")</f>
        <v>Transcript Link</v>
      </c>
      <c r="M1245" s="2" t="str">
        <f>HYPERLINK("https://files.afu.se/Downloads/Transcripts/0%20-%20Government/USA%20-%20NASA%20Kennedy/2012 07 13 - NASA's Kennedy Space Center - Resolve Rover Begins Testing_NbaNleplrjs - transcript (automated).pdf","Transcript Link")</f>
        <v>Transcript Link</v>
      </c>
    </row>
    <row r="1246" ht="240" spans="1:13">
      <c r="A1246" s="1" t="s">
        <v>5763</v>
      </c>
      <c r="B1246" s="1" t="s">
        <v>13</v>
      </c>
      <c r="C1246" s="4" t="s">
        <v>5764</v>
      </c>
      <c r="D1246" s="1" t="s">
        <v>5765</v>
      </c>
      <c r="E1246" s="1" t="s">
        <v>5766</v>
      </c>
      <c r="F1246" s="4" t="s">
        <v>17</v>
      </c>
      <c r="G1246" s="1" t="s">
        <v>18</v>
      </c>
      <c r="H1246" s="1" t="s">
        <v>19</v>
      </c>
      <c r="I1246" s="1" t="s">
        <v>20</v>
      </c>
      <c r="J1246" s="1" t="s">
        <v>5767</v>
      </c>
      <c r="K1246" s="1" t="s">
        <v>22</v>
      </c>
      <c r="L1246" s="1" t="str">
        <f>HYPERLINK("https://files.afu.se/Downloads/Transcripts/0%20-%20Government/USA%20-%20NASA%20Kennedy/2012 07 11 - NASA's Kennedy Space Center - CCP  ATK Breakout Video_-4lktJBvKm8 - transcript (automated).pdf","Transcript Link")</f>
        <v>Transcript Link</v>
      </c>
      <c r="M1246" s="2" t="str">
        <f>HYPERLINK("https://files.afu.se/Downloads/Transcripts/0%20-%20Government/USA%20-%20NASA%20Kennedy/2012 07 11 - NASA's Kennedy Space Center - CCP  ATK Breakout Video_-4lktJBvKm8 - transcript (automated).pdf","Transcript Link")</f>
        <v>Transcript Link</v>
      </c>
    </row>
    <row r="1247" ht="225" spans="1:13">
      <c r="A1247" s="1" t="s">
        <v>5763</v>
      </c>
      <c r="B1247" s="1" t="s">
        <v>13</v>
      </c>
      <c r="C1247" s="4" t="s">
        <v>5768</v>
      </c>
      <c r="D1247" s="1" t="s">
        <v>5769</v>
      </c>
      <c r="E1247" s="1" t="s">
        <v>5770</v>
      </c>
      <c r="F1247" s="4" t="s">
        <v>17</v>
      </c>
      <c r="G1247" s="1" t="s">
        <v>18</v>
      </c>
      <c r="H1247" s="1" t="s">
        <v>19</v>
      </c>
      <c r="I1247" s="1" t="s">
        <v>20</v>
      </c>
      <c r="J1247" s="1" t="s">
        <v>5771</v>
      </c>
      <c r="K1247" s="1" t="s">
        <v>22</v>
      </c>
      <c r="L1247" s="1" t="str">
        <f>HYPERLINK("https://files.afu.se/Downloads/Transcripts/0%20-%20Government/USA%20-%20NASA%20Kennedy/2012 07 11 - NASA's Kennedy Space Center - CCP  ULA Breakout Video_prPmciueUHA - transcript (automated).pdf","Transcript Link")</f>
        <v>Transcript Link</v>
      </c>
      <c r="M1247" s="2" t="str">
        <f>HYPERLINK("https://files.afu.se/Downloads/Transcripts/0%20-%20Government/USA%20-%20NASA%20Kennedy/2012 07 11 - NASA's Kennedy Space Center - CCP  ULA Breakout Video_prPmciueUHA - transcript (automated).pdf","Transcript Link")</f>
        <v>Transcript Link</v>
      </c>
    </row>
    <row r="1248" ht="180" spans="1:13">
      <c r="A1248" s="1" t="s">
        <v>5772</v>
      </c>
      <c r="B1248" s="1" t="s">
        <v>13</v>
      </c>
      <c r="C1248" s="4" t="s">
        <v>5773</v>
      </c>
      <c r="D1248" s="1" t="s">
        <v>5774</v>
      </c>
      <c r="E1248" s="1" t="s">
        <v>5775</v>
      </c>
      <c r="F1248" s="4" t="s">
        <v>17</v>
      </c>
      <c r="G1248" s="1" t="s">
        <v>18</v>
      </c>
      <c r="H1248" s="1" t="s">
        <v>19</v>
      </c>
      <c r="I1248" s="1" t="s">
        <v>20</v>
      </c>
      <c r="J1248" s="1" t="s">
        <v>5776</v>
      </c>
      <c r="K1248" s="1" t="s">
        <v>22</v>
      </c>
      <c r="L1248" s="1" t="str">
        <f>HYPERLINK("https://files.afu.se/Downloads/Transcripts/0%20-%20Government/USA%20-%20NASA%20Kennedy/2012 07 06 - NASA's Kennedy Space Center - Kennedy Space Center  Establishing a New Gateway to Space_SsWS9hBDtyI - transcript (automated).pdf","Transcript Link")</f>
        <v>Transcript Link</v>
      </c>
      <c r="M1248" s="2" t="str">
        <f>HYPERLINK("https://files.afu.se/Downloads/Transcripts/0%20-%20Government/USA%20-%20NASA%20Kennedy/2012 07 06 - NASA's Kennedy Space Center - Kennedy Space Center  Establishing a New Gateway to Space_SsWS9hBDtyI - transcript (automated).pdf","Transcript Link")</f>
        <v>Transcript Link</v>
      </c>
    </row>
    <row r="1249" ht="180" spans="1:13">
      <c r="A1249" s="1" t="s">
        <v>5777</v>
      </c>
      <c r="B1249" s="1" t="s">
        <v>13</v>
      </c>
      <c r="C1249" s="4" t="s">
        <v>5778</v>
      </c>
      <c r="D1249" s="1" t="s">
        <v>5779</v>
      </c>
      <c r="E1249" s="1" t="s">
        <v>5780</v>
      </c>
      <c r="F1249" s="4" t="s">
        <v>17</v>
      </c>
      <c r="G1249" s="1" t="s">
        <v>18</v>
      </c>
      <c r="H1249" s="1" t="s">
        <v>19</v>
      </c>
      <c r="I1249" s="1" t="s">
        <v>20</v>
      </c>
      <c r="J1249" s="1" t="s">
        <v>5781</v>
      </c>
      <c r="K1249" s="1" t="s">
        <v>22</v>
      </c>
      <c r="L1249" s="1" t="str">
        <f>HYPERLINK("https://files.afu.se/Downloads/Transcripts/0%20-%20Government/USA%20-%20NASA%20Kennedy/2012 07 02 - NASA's Kennedy Space Center - NASA Celebrates Orion Milestone_DisyKIiceUk - transcript (automated).pdf","Transcript Link")</f>
        <v>Transcript Link</v>
      </c>
      <c r="M1249" s="2" t="str">
        <f>HYPERLINK("https://files.afu.se/Downloads/Transcripts/0%20-%20Government/USA%20-%20NASA%20Kennedy/2012 07 02 - NASA's Kennedy Space Center - NASA Celebrates Orion Milestone_DisyKIiceUk - transcript (automated).pdf","Transcript Link")</f>
        <v>Transcript Link</v>
      </c>
    </row>
    <row r="1250" ht="240" spans="1:13">
      <c r="A1250" s="1" t="s">
        <v>5777</v>
      </c>
      <c r="B1250" s="1" t="s">
        <v>13</v>
      </c>
      <c r="C1250" s="4" t="s">
        <v>5782</v>
      </c>
      <c r="D1250" s="1" t="s">
        <v>5783</v>
      </c>
      <c r="E1250" s="1" t="s">
        <v>5784</v>
      </c>
      <c r="F1250" s="4" t="s">
        <v>17</v>
      </c>
      <c r="G1250" s="1" t="s">
        <v>18</v>
      </c>
      <c r="H1250" s="1" t="s">
        <v>19</v>
      </c>
      <c r="I1250" s="1" t="s">
        <v>20</v>
      </c>
      <c r="J1250" s="1" t="s">
        <v>5785</v>
      </c>
      <c r="K1250" s="1" t="s">
        <v>22</v>
      </c>
      <c r="L1250" s="1" t="str">
        <f>HYPERLINK("https://files.afu.se/Downloads/Transcripts/0%20-%20Government/USA%20-%20NASA%20Kennedy/2012 07 02 - NASA's Kennedy Space Center - CCP  SpaceX Breakout Video_isHaxAVKOx0 - transcript (automated).pdf","Transcript Link")</f>
        <v>Transcript Link</v>
      </c>
      <c r="M1250" s="2" t="str">
        <f>HYPERLINK("https://files.afu.se/Downloads/Transcripts/0%20-%20Government/USA%20-%20NASA%20Kennedy/2012 07 02 - NASA's Kennedy Space Center - CCP  SpaceX Breakout Video_isHaxAVKOx0 - transcript (automated).pdf","Transcript Link")</f>
        <v>Transcript Link</v>
      </c>
    </row>
    <row r="1251" ht="180" spans="1:13">
      <c r="A1251" s="1" t="s">
        <v>5786</v>
      </c>
      <c r="B1251" s="1" t="s">
        <v>13</v>
      </c>
      <c r="C1251" s="4" t="s">
        <v>5787</v>
      </c>
      <c r="D1251" s="1" t="s">
        <v>5788</v>
      </c>
      <c r="F1251" s="4" t="s">
        <v>17</v>
      </c>
      <c r="G1251" s="1" t="s">
        <v>18</v>
      </c>
      <c r="H1251" s="1" t="s">
        <v>19</v>
      </c>
      <c r="I1251" s="1" t="s">
        <v>20</v>
      </c>
      <c r="J1251" s="1" t="s">
        <v>5789</v>
      </c>
      <c r="K1251" s="1" t="s">
        <v>22</v>
      </c>
      <c r="L1251" s="1" t="str">
        <f>HYPERLINK("https://files.afu.se/Downloads/Transcripts/0%20-%20Government/USA%20-%20NASA%20Kennedy/2012 06 29 - NASA's Kennedy Space Center - Kennedy Space Center 50th Anniversary Video_WrGEU5irS8o - transcript (automated).pdf","Transcript Link")</f>
        <v>Transcript Link</v>
      </c>
      <c r="M1251" s="2" t="str">
        <f>HYPERLINK("https://files.afu.se/Downloads/Transcripts/0%20-%20Government/USA%20-%20NASA%20Kennedy/2012 06 29 - NASA's Kennedy Space Center - Kennedy Space Center 50th Anniversary Video_WrGEU5irS8o - transcript (automated).pdf","Transcript Link")</f>
        <v>Transcript Link</v>
      </c>
    </row>
    <row r="1252" ht="240" spans="1:13">
      <c r="A1252" s="1" t="s">
        <v>5790</v>
      </c>
      <c r="B1252" s="1" t="s">
        <v>13</v>
      </c>
      <c r="C1252" s="4" t="s">
        <v>5791</v>
      </c>
      <c r="D1252" s="1" t="s">
        <v>5792</v>
      </c>
      <c r="E1252" s="1" t="s">
        <v>5793</v>
      </c>
      <c r="F1252" s="4" t="s">
        <v>17</v>
      </c>
      <c r="G1252" s="1" t="s">
        <v>18</v>
      </c>
      <c r="H1252" s="1" t="s">
        <v>19</v>
      </c>
      <c r="I1252" s="1" t="s">
        <v>20</v>
      </c>
      <c r="J1252" s="1" t="s">
        <v>5794</v>
      </c>
      <c r="K1252" s="1" t="s">
        <v>22</v>
      </c>
      <c r="L1252" s="1" t="str">
        <f>HYPERLINK("https://files.afu.se/Downloads/Transcripts/0%20-%20Government/USA%20-%20NASA%20Kennedy/2012 06 25 - NASA's Kennedy Space Center - CCP  Sierra Nevada Corp. Breakout Video_4ehCMvZX1SE - transcript (automated).pdf","Transcript Link")</f>
        <v>Transcript Link</v>
      </c>
      <c r="M1252" s="2" t="str">
        <f>HYPERLINK("https://files.afu.se/Downloads/Transcripts/0%20-%20Government/USA%20-%20NASA%20Kennedy/2012 06 25 - NASA's Kennedy Space Center - CCP  Sierra Nevada Corp. Breakout Video_4ehCMvZX1SE - transcript (automated).pdf","Transcript Link")</f>
        <v>Transcript Link</v>
      </c>
    </row>
    <row r="1253" ht="240" spans="1:13">
      <c r="A1253" s="1" t="s">
        <v>5790</v>
      </c>
      <c r="B1253" s="1" t="s">
        <v>13</v>
      </c>
      <c r="C1253" s="4" t="s">
        <v>5795</v>
      </c>
      <c r="D1253" s="1" t="s">
        <v>5796</v>
      </c>
      <c r="E1253" s="1" t="s">
        <v>5797</v>
      </c>
      <c r="F1253" s="4" t="s">
        <v>17</v>
      </c>
      <c r="G1253" s="1" t="s">
        <v>18</v>
      </c>
      <c r="H1253" s="1" t="s">
        <v>19</v>
      </c>
      <c r="I1253" s="1" t="s">
        <v>20</v>
      </c>
      <c r="J1253" s="1" t="s">
        <v>5798</v>
      </c>
      <c r="K1253" s="1" t="s">
        <v>22</v>
      </c>
      <c r="L1253" s="1" t="str">
        <f>HYPERLINK("https://files.afu.se/Downloads/Transcripts/0%20-%20Government/USA%20-%20NASA%20Kennedy/2012 06 25 - NASA's Kennedy Space Center - CCP  Boeing Breakout Video_qqNxssB26bo - transcript (automated).pdf","Transcript Link")</f>
        <v>Transcript Link</v>
      </c>
      <c r="M1253" s="2" t="str">
        <f>HYPERLINK("https://files.afu.se/Downloads/Transcripts/0%20-%20Government/USA%20-%20NASA%20Kennedy/2012 06 25 - NASA's Kennedy Space Center - CCP  Boeing Breakout Video_qqNxssB26bo - transcript (automated).pdf","Transcript Link")</f>
        <v>Transcript Link</v>
      </c>
    </row>
    <row r="1254" ht="180" spans="1:13">
      <c r="A1254" s="1" t="s">
        <v>5799</v>
      </c>
      <c r="B1254" s="1" t="s">
        <v>13</v>
      </c>
      <c r="C1254" s="4" t="s">
        <v>5800</v>
      </c>
      <c r="D1254" s="1" t="s">
        <v>5801</v>
      </c>
      <c r="E1254" s="1" t="s">
        <v>5802</v>
      </c>
      <c r="F1254" s="4" t="s">
        <v>17</v>
      </c>
      <c r="G1254" s="1" t="s">
        <v>18</v>
      </c>
      <c r="H1254" s="1" t="s">
        <v>19</v>
      </c>
      <c r="I1254" s="1" t="s">
        <v>20</v>
      </c>
      <c r="J1254" s="1" t="s">
        <v>5803</v>
      </c>
      <c r="K1254" s="1" t="s">
        <v>22</v>
      </c>
      <c r="L1254" s="1" t="str">
        <f>HYPERLINK("https://files.afu.se/Downloads/Transcripts/0%20-%20Government/USA%20-%20NASA%20Kennedy/2012 06 20 - NASA's Kennedy Space Center - NuSTAR Transport and Mate in Time-lapse_dlod2pBuLJg - transcript (automated).pdf","Transcript Link")</f>
        <v>Transcript Link</v>
      </c>
      <c r="M1254" s="2" t="str">
        <f>HYPERLINK("https://files.afu.se/Downloads/Transcripts/0%20-%20Government/USA%20-%20NASA%20Kennedy/2012 06 20 - NASA's Kennedy Space Center - NuSTAR Transport and Mate in Time-lapse_dlod2pBuLJg - transcript (automated).pdf","Transcript Link")</f>
        <v>Transcript Link</v>
      </c>
    </row>
    <row r="1255" ht="180" spans="1:13">
      <c r="A1255" s="1" t="s">
        <v>5804</v>
      </c>
      <c r="B1255" s="1" t="s">
        <v>13</v>
      </c>
      <c r="C1255" s="4" t="s">
        <v>5805</v>
      </c>
      <c r="D1255" s="1" t="s">
        <v>5806</v>
      </c>
      <c r="E1255" s="1" t="s">
        <v>5807</v>
      </c>
      <c r="F1255" s="4" t="s">
        <v>17</v>
      </c>
      <c r="G1255" s="1" t="s">
        <v>18</v>
      </c>
      <c r="H1255" s="1" t="s">
        <v>19</v>
      </c>
      <c r="I1255" s="1" t="s">
        <v>20</v>
      </c>
      <c r="J1255" s="1" t="s">
        <v>5808</v>
      </c>
      <c r="K1255" s="1" t="s">
        <v>22</v>
      </c>
      <c r="L1255" s="1" t="str">
        <f>HYPERLINK("https://files.afu.se/Downloads/Transcripts/0%20-%20Government/USA%20-%20NASA%20Kennedy/2012 06 19 - NASA's Kennedy Space Center - Boeing with Pratt &amp; Whitney LAS Hot Fire Test_9VMiKodZ3ow - transcript (automated).pdf","Transcript Link")</f>
        <v>Transcript Link</v>
      </c>
      <c r="M1255" s="2" t="str">
        <f>HYPERLINK("https://files.afu.se/Downloads/Transcripts/0%20-%20Government/USA%20-%20NASA%20Kennedy/2012 06 19 - NASA's Kennedy Space Center - Boeing with Pratt &amp; Whitney LAS Hot Fire Test_9VMiKodZ3ow - transcript (automated).pdf","Transcript Link")</f>
        <v>Transcript Link</v>
      </c>
    </row>
    <row r="1256" ht="180" spans="1:13">
      <c r="A1256" s="1" t="s">
        <v>5809</v>
      </c>
      <c r="B1256" s="1" t="s">
        <v>13</v>
      </c>
      <c r="C1256" s="4" t="s">
        <v>5810</v>
      </c>
      <c r="D1256" s="1" t="s">
        <v>5811</v>
      </c>
      <c r="E1256" s="1" t="s">
        <v>5812</v>
      </c>
      <c r="F1256" s="4" t="s">
        <v>17</v>
      </c>
      <c r="G1256" s="1" t="s">
        <v>18</v>
      </c>
      <c r="H1256" s="1" t="s">
        <v>19</v>
      </c>
      <c r="I1256" s="1" t="s">
        <v>20</v>
      </c>
      <c r="J1256" s="1" t="s">
        <v>5813</v>
      </c>
      <c r="K1256" s="1" t="s">
        <v>22</v>
      </c>
      <c r="L1256" s="1" t="str">
        <f>HYPERLINK("https://files.afu.se/Downloads/Transcripts/0%20-%20Government/USA%20-%20NASA%20Kennedy/2012 06 18 - NASA's Kennedy Space Center - NuSTAR Arrives at Kwajalein_isUsWZ9aVK4 - transcript (automated).pdf","Transcript Link")</f>
        <v>Transcript Link</v>
      </c>
      <c r="M1256" s="2" t="str">
        <f>HYPERLINK("https://files.afu.se/Downloads/Transcripts/0%20-%20Government/USA%20-%20NASA%20Kennedy/2012 06 18 - NASA's Kennedy Space Center - NuSTAR Arrives at Kwajalein_isUsWZ9aVK4 - transcript (automated).pdf","Transcript Link")</f>
        <v>Transcript Link</v>
      </c>
    </row>
    <row r="1257" ht="180" spans="1:13">
      <c r="A1257" s="1" t="s">
        <v>5814</v>
      </c>
      <c r="B1257" s="1" t="s">
        <v>13</v>
      </c>
      <c r="C1257" s="4" t="s">
        <v>5815</v>
      </c>
      <c r="D1257" s="1" t="s">
        <v>5816</v>
      </c>
      <c r="E1257" s="1" t="s">
        <v>5817</v>
      </c>
      <c r="F1257" s="4" t="s">
        <v>17</v>
      </c>
      <c r="G1257" s="1" t="s">
        <v>18</v>
      </c>
      <c r="H1257" s="1" t="s">
        <v>19</v>
      </c>
      <c r="I1257" s="1" t="s">
        <v>20</v>
      </c>
      <c r="J1257" s="1" t="s">
        <v>5818</v>
      </c>
      <c r="K1257" s="1" t="s">
        <v>22</v>
      </c>
      <c r="L1257" s="1" t="str">
        <f>HYPERLINK("https://files.afu.se/Downloads/Transcripts/0%20-%20Government/USA%20-%20NASA%20Kennedy/2012 06 14 - NASA's Kennedy Space Center - NuSTAR Spacecraft and Vehicle Flow_blUCRZytZCU - transcript (automated).pdf","Transcript Link")</f>
        <v>Transcript Link</v>
      </c>
      <c r="M1257" s="2" t="str">
        <f>HYPERLINK("https://files.afu.se/Downloads/Transcripts/0%20-%20Government/USA%20-%20NASA%20Kennedy/2012 06 14 - NASA's Kennedy Space Center - NuSTAR Spacecraft and Vehicle Flow_blUCRZytZCU - transcript (automated).pdf","Transcript Link")</f>
        <v>Transcript Link</v>
      </c>
    </row>
    <row r="1258" ht="180" spans="1:13">
      <c r="A1258" s="1" t="s">
        <v>5814</v>
      </c>
      <c r="B1258" s="1" t="s">
        <v>13</v>
      </c>
      <c r="C1258" s="4" t="s">
        <v>5819</v>
      </c>
      <c r="D1258" s="1" t="s">
        <v>5820</v>
      </c>
      <c r="E1258" s="1" t="s">
        <v>5821</v>
      </c>
      <c r="F1258" s="4" t="s">
        <v>17</v>
      </c>
      <c r="G1258" s="1" t="s">
        <v>18</v>
      </c>
      <c r="H1258" s="1" t="s">
        <v>19</v>
      </c>
      <c r="I1258" s="1" t="s">
        <v>20</v>
      </c>
      <c r="J1258" s="1" t="s">
        <v>5822</v>
      </c>
      <c r="K1258" s="1" t="s">
        <v>22</v>
      </c>
      <c r="L1258" s="1" t="str">
        <f>HYPERLINK("https://files.afu.se/Downloads/Transcripts/0%20-%20Government/USA%20-%20NASA%20Kennedy/2012 06 14 - NASA's Kennedy Space Center - NuSTAR Launch Highlights_1lByXTVwvRM - transcript (automated).pdf","Transcript Link")</f>
        <v>Transcript Link</v>
      </c>
      <c r="M1258" s="2" t="str">
        <f>HYPERLINK("https://files.afu.se/Downloads/Transcripts/0%20-%20Government/USA%20-%20NASA%20Kennedy/2012 06 14 - NASA's Kennedy Space Center - NuSTAR Launch Highlights_1lByXTVwvRM - transcript (automated).pdf","Transcript Link")</f>
        <v>Transcript Link</v>
      </c>
    </row>
    <row r="1259" ht="180" spans="1:13">
      <c r="A1259" s="1" t="s">
        <v>5823</v>
      </c>
      <c r="B1259" s="1" t="s">
        <v>13</v>
      </c>
      <c r="C1259" s="4" t="s">
        <v>5824</v>
      </c>
      <c r="D1259" s="1" t="s">
        <v>5825</v>
      </c>
      <c r="E1259" s="1" t="s">
        <v>5826</v>
      </c>
      <c r="F1259" s="4" t="s">
        <v>17</v>
      </c>
      <c r="G1259" s="1" t="s">
        <v>18</v>
      </c>
      <c r="H1259" s="1" t="s">
        <v>19</v>
      </c>
      <c r="I1259" s="1" t="s">
        <v>20</v>
      </c>
      <c r="J1259" s="1" t="s">
        <v>5827</v>
      </c>
      <c r="K1259" s="1" t="s">
        <v>22</v>
      </c>
      <c r="L1259" s="1" t="str">
        <f>HYPERLINK("https://files.afu.se/Downloads/Transcripts/0%20-%20Government/USA%20-%20NASA%20Kennedy/2012 06 13 - NASA's Kennedy Space Center - NuSTAR Launch Coverage  Tim Dunn Post Launch Interview_swDmUBCB2DY - transcript (automated).pdf","Transcript Link")</f>
        <v>Transcript Link</v>
      </c>
      <c r="M1259" s="2" t="str">
        <f>HYPERLINK("https://files.afu.se/Downloads/Transcripts/0%20-%20Government/USA%20-%20NASA%20Kennedy/2012 06 13 - NASA's Kennedy Space Center - NuSTAR Launch Coverage  Tim Dunn Post Launch Interview_swDmUBCB2DY - transcript (automated).pdf","Transcript Link")</f>
        <v>Transcript Link</v>
      </c>
    </row>
    <row r="1260" ht="180" spans="1:13">
      <c r="A1260" s="1" t="s">
        <v>5823</v>
      </c>
      <c r="B1260" s="1" t="s">
        <v>13</v>
      </c>
      <c r="C1260" s="4" t="s">
        <v>5828</v>
      </c>
      <c r="D1260" s="1" t="s">
        <v>5829</v>
      </c>
      <c r="E1260" s="1" t="s">
        <v>5830</v>
      </c>
      <c r="F1260" s="4" t="s">
        <v>17</v>
      </c>
      <c r="G1260" s="1" t="s">
        <v>18</v>
      </c>
      <c r="H1260" s="1" t="s">
        <v>19</v>
      </c>
      <c r="I1260" s="1" t="s">
        <v>20</v>
      </c>
      <c r="J1260" s="1" t="s">
        <v>5831</v>
      </c>
      <c r="K1260" s="1" t="s">
        <v>22</v>
      </c>
      <c r="L1260" s="1" t="str">
        <f>HYPERLINK("https://files.afu.se/Downloads/Transcripts/0%20-%20Government/USA%20-%20NASA%20Kennedy/2012 06 13 - NASA's Kennedy Space Center - Launch of NuSTAR_eV95tzgh3rs - transcript (automated).pdf","Transcript Link")</f>
        <v>Transcript Link</v>
      </c>
      <c r="M1260" s="2" t="str">
        <f>HYPERLINK("https://files.afu.se/Downloads/Transcripts/0%20-%20Government/USA%20-%20NASA%20Kennedy/2012 06 13 - NASA's Kennedy Space Center - Launch of NuSTAR_eV95tzgh3rs - transcript (automated).pdf","Transcript Link")</f>
        <v>Transcript Link</v>
      </c>
    </row>
    <row r="1261" ht="210" spans="1:13">
      <c r="A1261" s="1" t="s">
        <v>5832</v>
      </c>
      <c r="B1261" s="1" t="s">
        <v>13</v>
      </c>
      <c r="C1261" s="4" t="s">
        <v>5833</v>
      </c>
      <c r="D1261" s="1" t="s">
        <v>5834</v>
      </c>
      <c r="E1261" s="1" t="s">
        <v>5835</v>
      </c>
      <c r="F1261" s="4" t="s">
        <v>17</v>
      </c>
      <c r="G1261" s="1" t="s">
        <v>18</v>
      </c>
      <c r="H1261" s="1" t="s">
        <v>19</v>
      </c>
      <c r="I1261" s="1" t="s">
        <v>20</v>
      </c>
      <c r="J1261" s="1" t="s">
        <v>5836</v>
      </c>
      <c r="K1261" s="1" t="s">
        <v>22</v>
      </c>
      <c r="L1261" s="1" t="str">
        <f>HYPERLINK("https://files.afu.se/Downloads/Transcripts/0%20-%20Government/USA%20-%20NASA%20Kennedy/2012 06 11 - NASA's Kennedy Space Center - NuSTAR Webcast_t6pcgYHe0p0 - transcript (automated).pdf","Transcript Link")</f>
        <v>Transcript Link</v>
      </c>
      <c r="M1261" s="2" t="str">
        <f>HYPERLINK("https://files.afu.se/Downloads/Transcripts/0%20-%20Government/USA%20-%20NASA%20Kennedy/2012 06 11 - NASA's Kennedy Space Center - NuSTAR Webcast_t6pcgYHe0p0 - transcript (automated).pdf","Transcript Link")</f>
        <v>Transcript Link</v>
      </c>
    </row>
    <row r="1262" ht="180" spans="1:13">
      <c r="A1262" s="1" t="s">
        <v>5837</v>
      </c>
      <c r="B1262" s="1" t="s">
        <v>13</v>
      </c>
      <c r="C1262" s="4" t="s">
        <v>5838</v>
      </c>
      <c r="D1262" s="1" t="s">
        <v>5839</v>
      </c>
      <c r="E1262" s="1" t="s">
        <v>5840</v>
      </c>
      <c r="F1262" s="4" t="s">
        <v>17</v>
      </c>
      <c r="G1262" s="1" t="s">
        <v>18</v>
      </c>
      <c r="H1262" s="1" t="s">
        <v>19</v>
      </c>
      <c r="I1262" s="1" t="s">
        <v>20</v>
      </c>
      <c r="J1262" s="1" t="s">
        <v>5841</v>
      </c>
      <c r="K1262" s="1" t="s">
        <v>22</v>
      </c>
      <c r="L1262" s="1" t="str">
        <f>HYPERLINK("https://files.afu.se/Downloads/Transcripts/0%20-%20Government/USA%20-%20NASA%20Kennedy/2012 06 05 - NASA's Kennedy Space Center - Boeing CST-100 Drop Test_Zfgu97xjGbU - transcript (automated).pdf","Transcript Link")</f>
        <v>Transcript Link</v>
      </c>
      <c r="M1262" s="2" t="str">
        <f>HYPERLINK("https://files.afu.se/Downloads/Transcripts/0%20-%20Government/USA%20-%20NASA%20Kennedy/2012 06 05 - NASA's Kennedy Space Center - Boeing CST-100 Drop Test_Zfgu97xjGbU - transcript (automated).pdf","Transcript Link")</f>
        <v>Transcript Link</v>
      </c>
    </row>
    <row r="1263" ht="180" spans="1:13">
      <c r="A1263" s="1" t="s">
        <v>5842</v>
      </c>
      <c r="B1263" s="1" t="s">
        <v>13</v>
      </c>
      <c r="C1263" s="4" t="s">
        <v>5843</v>
      </c>
      <c r="D1263" s="1" t="s">
        <v>5844</v>
      </c>
      <c r="E1263" s="1" t="s">
        <v>5845</v>
      </c>
      <c r="F1263" s="4" t="s">
        <v>17</v>
      </c>
      <c r="G1263" s="1" t="s">
        <v>18</v>
      </c>
      <c r="H1263" s="1" t="s">
        <v>19</v>
      </c>
      <c r="I1263" s="1" t="s">
        <v>20</v>
      </c>
      <c r="J1263" s="1" t="s">
        <v>5846</v>
      </c>
      <c r="K1263" s="1" t="s">
        <v>22</v>
      </c>
      <c r="L1263" s="1" t="str">
        <f>HYPERLINK("https://files.afu.se/Downloads/Transcripts/0%20-%20Government/USA%20-%20NASA%20Kennedy/2012 06 01 - NASA's Kennedy Space Center - Preparing the Vehicle Assembly Building for the Future_CYppcUc36mg - transcript (automated).pdf","Transcript Link")</f>
        <v>Transcript Link</v>
      </c>
      <c r="M1263" s="2" t="str">
        <f>HYPERLINK("https://files.afu.se/Downloads/Transcripts/0%20-%20Government/USA%20-%20NASA%20Kennedy/2012 06 01 - NASA's Kennedy Space Center - Preparing the Vehicle Assembly Building for the Future_CYppcUc36mg - transcript (automated).pdf","Transcript Link")</f>
        <v>Transcript Link</v>
      </c>
    </row>
    <row r="1264" ht="315" spans="1:13">
      <c r="A1264" s="1" t="s">
        <v>5847</v>
      </c>
      <c r="B1264" s="1" t="s">
        <v>13</v>
      </c>
      <c r="C1264" s="4" t="s">
        <v>5848</v>
      </c>
      <c r="D1264" s="1" t="s">
        <v>5849</v>
      </c>
      <c r="E1264" s="1" t="s">
        <v>5850</v>
      </c>
      <c r="F1264" s="4" t="s">
        <v>17</v>
      </c>
      <c r="G1264" s="1" t="s">
        <v>18</v>
      </c>
      <c r="H1264" s="1" t="s">
        <v>19</v>
      </c>
      <c r="I1264" s="1" t="s">
        <v>20</v>
      </c>
      <c r="J1264" s="1" t="s">
        <v>5851</v>
      </c>
      <c r="K1264" s="1" t="s">
        <v>22</v>
      </c>
      <c r="L1264" s="1" t="str">
        <f>HYPERLINK("https://files.afu.se/Downloads/Transcripts/0%20-%20Government/USA%20-%20NASA%20Kennedy/2012 05 31 - NASA's Kennedy Space Center - SNC Performs Dream Chaser Captive-Carry_L_VteT0rdy8 - transcript (automated).pdf","Transcript Link")</f>
        <v>Transcript Link</v>
      </c>
      <c r="M1264" s="2" t="str">
        <f>HYPERLINK("https://files.afu.se/Downloads/Transcripts/0%20-%20Government/USA%20-%20NASA%20Kennedy/2012 05 31 - NASA's Kennedy Space Center - SNC Performs Dream Chaser Captive-Carry_L_VteT0rdy8 - transcript (automated).pdf","Transcript Link")</f>
        <v>Transcript Link</v>
      </c>
    </row>
    <row r="1265" ht="180" spans="1:13">
      <c r="A1265" s="1" t="s">
        <v>5852</v>
      </c>
      <c r="B1265" s="1" t="s">
        <v>13</v>
      </c>
      <c r="C1265" s="4" t="s">
        <v>5853</v>
      </c>
      <c r="D1265" s="1" t="s">
        <v>5854</v>
      </c>
      <c r="E1265" s="1" t="s">
        <v>5855</v>
      </c>
      <c r="F1265" s="4" t="s">
        <v>17</v>
      </c>
      <c r="G1265" s="1" t="s">
        <v>18</v>
      </c>
      <c r="H1265" s="1" t="s">
        <v>19</v>
      </c>
      <c r="I1265" s="1" t="s">
        <v>20</v>
      </c>
      <c r="J1265" s="1" t="s">
        <v>5856</v>
      </c>
      <c r="K1265" s="1" t="s">
        <v>22</v>
      </c>
      <c r="L1265" s="1" t="str">
        <f>HYPERLINK("https://files.afu.se/Downloads/Transcripts/0%20-%20Government/USA%20-%20NASA%20Kennedy/2012 05 22 - NASA's Kennedy Space Center - Launch of SpaceX Falcon 9_4vkqBfv8OMM - transcript (automated).pdf","Transcript Link")</f>
        <v>Transcript Link</v>
      </c>
      <c r="M1265" s="2" t="str">
        <f>HYPERLINK("https://files.afu.se/Downloads/Transcripts/0%20-%20Government/USA%20-%20NASA%20Kennedy/2012 05 22 - NASA's Kennedy Space Center - Launch of SpaceX Falcon 9_4vkqBfv8OMM - transcript (automated).pdf","Transcript Link")</f>
        <v>Transcript Link</v>
      </c>
    </row>
    <row r="1266" ht="180" spans="1:13">
      <c r="A1266" s="1" t="s">
        <v>5857</v>
      </c>
      <c r="B1266" s="1" t="s">
        <v>13</v>
      </c>
      <c r="C1266" s="4" t="s">
        <v>5858</v>
      </c>
      <c r="D1266" s="1" t="s">
        <v>5859</v>
      </c>
      <c r="E1266" s="1" t="s">
        <v>5860</v>
      </c>
      <c r="F1266" s="4" t="s">
        <v>17</v>
      </c>
      <c r="G1266" s="1" t="s">
        <v>18</v>
      </c>
      <c r="H1266" s="1" t="s">
        <v>19</v>
      </c>
      <c r="I1266" s="1" t="s">
        <v>20</v>
      </c>
      <c r="J1266" s="1" t="s">
        <v>5861</v>
      </c>
      <c r="K1266" s="1" t="s">
        <v>22</v>
      </c>
      <c r="L1266" s="1" t="str">
        <f>HYPERLINK("https://files.afu.se/Downloads/Transcripts/0%20-%20Government/USA%20-%20NASA%20Kennedy/2012 05 21 - NASA's Kennedy Space Center - Endeavour Powered Down Final Time_JG1-51ZCpwU - transcript (automated).pdf","Transcript Link")</f>
        <v>Transcript Link</v>
      </c>
      <c r="M1266" s="2" t="str">
        <f>HYPERLINK("https://files.afu.se/Downloads/Transcripts/0%20-%20Government/USA%20-%20NASA%20Kennedy/2012 05 21 - NASA's Kennedy Space Center - Endeavour Powered Down Final Time_JG1-51ZCpwU - transcript (automated).pdf","Transcript Link")</f>
        <v>Transcript Link</v>
      </c>
    </row>
    <row r="1267" ht="180" spans="1:13">
      <c r="A1267" s="1" t="s">
        <v>5862</v>
      </c>
      <c r="B1267" s="1" t="s">
        <v>13</v>
      </c>
      <c r="C1267" s="4" t="s">
        <v>5863</v>
      </c>
      <c r="D1267" s="1" t="s">
        <v>5864</v>
      </c>
      <c r="E1267" s="1" t="s">
        <v>5865</v>
      </c>
      <c r="F1267" s="4" t="s">
        <v>17</v>
      </c>
      <c r="G1267" s="1" t="s">
        <v>18</v>
      </c>
      <c r="H1267" s="1" t="s">
        <v>19</v>
      </c>
      <c r="I1267" s="1" t="s">
        <v>20</v>
      </c>
      <c r="J1267" s="1" t="s">
        <v>5866</v>
      </c>
      <c r="K1267" s="1" t="s">
        <v>22</v>
      </c>
      <c r="L1267" s="1" t="str">
        <f>HYPERLINK("https://files.afu.se/Downloads/Transcripts/0%20-%20Government/USA%20-%20NASA%20Kennedy/2012 05 11 - NASA's Kennedy Space Center - Dragon Flight Test Aims for Station Success_CfamPxPI-CQ - transcript (automated).pdf","Transcript Link")</f>
        <v>Transcript Link</v>
      </c>
      <c r="M1267" s="2" t="str">
        <f>HYPERLINK("https://files.afu.se/Downloads/Transcripts/0%20-%20Government/USA%20-%20NASA%20Kennedy/2012 05 11 - NASA's Kennedy Space Center - Dragon Flight Test Aims for Station Success_CfamPxPI-CQ - transcript (automated).pdf","Transcript Link")</f>
        <v>Transcript Link</v>
      </c>
    </row>
    <row r="1268" ht="195" spans="1:13">
      <c r="A1268" s="1" t="s">
        <v>5862</v>
      </c>
      <c r="B1268" s="1" t="s">
        <v>13</v>
      </c>
      <c r="C1268" s="4" t="s">
        <v>5867</v>
      </c>
      <c r="D1268" s="1" t="s">
        <v>5868</v>
      </c>
      <c r="E1268" s="1" t="s">
        <v>5869</v>
      </c>
      <c r="F1268" s="4" t="s">
        <v>17</v>
      </c>
      <c r="G1268" s="1" t="s">
        <v>18</v>
      </c>
      <c r="H1268" s="1" t="s">
        <v>19</v>
      </c>
      <c r="I1268" s="1" t="s">
        <v>20</v>
      </c>
      <c r="J1268" s="1" t="s">
        <v>5870</v>
      </c>
      <c r="K1268" s="1" t="s">
        <v>22</v>
      </c>
      <c r="L1268" s="1" t="str">
        <f>HYPERLINK("https://files.afu.se/Downloads/Transcripts/0%20-%20Government/USA%20-%20NASA%20Kennedy/2012 05 11 - NASA's Kennedy Space Center - Kennedy Space Center 2012 and Beyond_XMCr04GXQeM - transcript (automated).pdf","Transcript Link")</f>
        <v>Transcript Link</v>
      </c>
      <c r="M1268" s="2" t="str">
        <f>HYPERLINK("https://files.afu.se/Downloads/Transcripts/0%20-%20Government/USA%20-%20NASA%20Kennedy/2012 05 11 - NASA's Kennedy Space Center - Kennedy Space Center 2012 and Beyond_XMCr04GXQeM - transcript (automated).pdf","Transcript Link")</f>
        <v>Transcript Link</v>
      </c>
    </row>
    <row r="1269" ht="195" spans="1:13">
      <c r="A1269" s="1" t="s">
        <v>5871</v>
      </c>
      <c r="B1269" s="1" t="s">
        <v>13</v>
      </c>
      <c r="C1269" s="4" t="s">
        <v>5872</v>
      </c>
      <c r="D1269" s="1" t="s">
        <v>5873</v>
      </c>
      <c r="E1269" s="1" t="s">
        <v>5874</v>
      </c>
      <c r="F1269" s="4" t="s">
        <v>17</v>
      </c>
      <c r="G1269" s="1" t="s">
        <v>18</v>
      </c>
      <c r="H1269" s="1" t="s">
        <v>19</v>
      </c>
      <c r="I1269" s="1" t="s">
        <v>20</v>
      </c>
      <c r="J1269" s="1" t="s">
        <v>5875</v>
      </c>
      <c r="K1269" s="1" t="s">
        <v>22</v>
      </c>
      <c r="L1269" s="1" t="str">
        <f>HYPERLINK("https://files.afu.se/Downloads/Transcripts/0%20-%20Government/USA%20-%20NASA%20Kennedy/2012 05 02 - NASA's Kennedy Space Center - In Their Own Words  Brent Jett_r-PDeZSsTqo - transcript (automated).pdf","Transcript Link")</f>
        <v>Transcript Link</v>
      </c>
      <c r="M1269" s="2" t="str">
        <f>HYPERLINK("https://files.afu.se/Downloads/Transcripts/0%20-%20Government/USA%20-%20NASA%20Kennedy/2012 05 02 - NASA's Kennedy Space Center - In Their Own Words  Brent Jett_r-PDeZSsTqo - transcript (automated).pdf","Transcript Link")</f>
        <v>Transcript Link</v>
      </c>
    </row>
    <row r="1270" ht="180" spans="1:13">
      <c r="A1270" s="1" t="s">
        <v>5876</v>
      </c>
      <c r="B1270" s="1" t="s">
        <v>13</v>
      </c>
      <c r="C1270" s="4" t="s">
        <v>5877</v>
      </c>
      <c r="D1270" s="1" t="s">
        <v>5878</v>
      </c>
      <c r="E1270" s="1" t="s">
        <v>5879</v>
      </c>
      <c r="F1270" s="4" t="s">
        <v>17</v>
      </c>
      <c r="G1270" s="1" t="s">
        <v>18</v>
      </c>
      <c r="H1270" s="1" t="s">
        <v>19</v>
      </c>
      <c r="I1270" s="1" t="s">
        <v>20</v>
      </c>
      <c r="J1270" s="1" t="s">
        <v>5880</v>
      </c>
      <c r="K1270" s="1" t="s">
        <v>22</v>
      </c>
      <c r="L1270" s="1" t="str">
        <f>HYPERLINK("https://files.afu.se/Downloads/Transcripts/0%20-%20Government/USA%20-%20NASA%20Kennedy/2012 05 01 - NASA's Kennedy Space Center - Educational Launch of Nanosatellites_4lRA7xL_xgM - transcript (automated).pdf","Transcript Link")</f>
        <v>Transcript Link</v>
      </c>
      <c r="M1270" s="2" t="str">
        <f>HYPERLINK("https://files.afu.se/Downloads/Transcripts/0%20-%20Government/USA%20-%20NASA%20Kennedy/2012 05 01 - NASA's Kennedy Space Center - Educational Launch of Nanosatellites_4lRA7xL_xgM - transcript (automated).pdf","Transcript Link")</f>
        <v>Transcript Link</v>
      </c>
    </row>
    <row r="1271" ht="180" spans="1:13">
      <c r="A1271" s="1" t="s">
        <v>5881</v>
      </c>
      <c r="B1271" s="1" t="s">
        <v>13</v>
      </c>
      <c r="C1271" s="4" t="s">
        <v>5882</v>
      </c>
      <c r="D1271" s="1" t="s">
        <v>5883</v>
      </c>
      <c r="E1271" s="1" t="s">
        <v>5710</v>
      </c>
      <c r="F1271" s="4" t="s">
        <v>17</v>
      </c>
      <c r="G1271" s="1" t="s">
        <v>18</v>
      </c>
      <c r="H1271" s="1" t="s">
        <v>19</v>
      </c>
      <c r="I1271" s="1" t="s">
        <v>20</v>
      </c>
      <c r="J1271" s="1" t="s">
        <v>5884</v>
      </c>
      <c r="K1271" s="1" t="s">
        <v>22</v>
      </c>
      <c r="L1271" s="1" t="str">
        <f>HYPERLINK("https://files.afu.se/Downloads/Transcripts/0%20-%20Government/USA%20-%20NASA%20Kennedy/2012 04 25 - NASA's Kennedy Space Center - Commercial Crew Program (CCP)  Launch Abort Systems_s71kyRGy7FE - transcript (automated).pdf","Transcript Link")</f>
        <v>Transcript Link</v>
      </c>
      <c r="M1271" s="2" t="str">
        <f>HYPERLINK("https://files.afu.se/Downloads/Transcripts/0%20-%20Government/USA%20-%20NASA%20Kennedy/2012 04 25 - NASA's Kennedy Space Center - Commercial Crew Program (CCP)  Launch Abort Systems_s71kyRGy7FE - transcript (automated).pdf","Transcript Link")</f>
        <v>Transcript Link</v>
      </c>
    </row>
    <row r="1272" ht="180" spans="1:13">
      <c r="A1272" s="1" t="s">
        <v>5885</v>
      </c>
      <c r="B1272" s="1" t="s">
        <v>13</v>
      </c>
      <c r="C1272" s="4" t="s">
        <v>5886</v>
      </c>
      <c r="D1272" s="1" t="s">
        <v>5887</v>
      </c>
      <c r="E1272" s="1" t="s">
        <v>5888</v>
      </c>
      <c r="F1272" s="4" t="s">
        <v>17</v>
      </c>
      <c r="G1272" s="1" t="s">
        <v>18</v>
      </c>
      <c r="H1272" s="1" t="s">
        <v>19</v>
      </c>
      <c r="I1272" s="1" t="s">
        <v>20</v>
      </c>
      <c r="J1272" s="1" t="s">
        <v>5889</v>
      </c>
      <c r="K1272" s="1" t="s">
        <v>22</v>
      </c>
      <c r="L1272" s="1" t="str">
        <f>HYPERLINK("https://files.afu.se/Downloads/Transcripts/0%20-%20Government/USA%20-%20NASA%20Kennedy/2012 04 20 - NASA's Kennedy Space Center - Kennedy Space Center's Countdown Clock_M3Fg0XrQBmU - transcript (automated).pdf","Transcript Link")</f>
        <v>Transcript Link</v>
      </c>
      <c r="M1272" s="2" t="str">
        <f>HYPERLINK("https://files.afu.se/Downloads/Transcripts/0%20-%20Government/USA%20-%20NASA%20Kennedy/2012 04 20 - NASA's Kennedy Space Center - Kennedy Space Center's Countdown Clock_M3Fg0XrQBmU - transcript (automated).pdf","Transcript Link")</f>
        <v>Transcript Link</v>
      </c>
    </row>
    <row r="1273" ht="180" spans="1:13">
      <c r="A1273" s="1" t="s">
        <v>5890</v>
      </c>
      <c r="B1273" s="1" t="s">
        <v>13</v>
      </c>
      <c r="C1273" s="4" t="s">
        <v>5891</v>
      </c>
      <c r="D1273" s="1" t="s">
        <v>5892</v>
      </c>
      <c r="E1273" s="1" t="s">
        <v>5893</v>
      </c>
      <c r="F1273" s="4" t="s">
        <v>17</v>
      </c>
      <c r="G1273" s="1" t="s">
        <v>18</v>
      </c>
      <c r="H1273" s="1" t="s">
        <v>19</v>
      </c>
      <c r="I1273" s="1" t="s">
        <v>20</v>
      </c>
      <c r="J1273" s="1" t="s">
        <v>5894</v>
      </c>
      <c r="K1273" s="1" t="s">
        <v>22</v>
      </c>
      <c r="L1273" s="1" t="str">
        <f>HYPERLINK("https://files.afu.se/Downloads/Transcripts/0%20-%20Government/USA%20-%20NASA%20Kennedy/2012 04 17 - NASA's Kennedy Space Center - Shuttle Discovery Departs Kennedy_vYSPGCOFNzQ - transcript (automated).pdf","Transcript Link")</f>
        <v>Transcript Link</v>
      </c>
      <c r="M1273" s="2" t="str">
        <f>HYPERLINK("https://files.afu.se/Downloads/Transcripts/0%20-%20Government/USA%20-%20NASA%20Kennedy/2012 04 17 - NASA's Kennedy Space Center - Shuttle Discovery Departs Kennedy_vYSPGCOFNzQ - transcript (automated).pdf","Transcript Link")</f>
        <v>Transcript Link</v>
      </c>
    </row>
    <row r="1274" ht="195" spans="1:13">
      <c r="A1274" s="1" t="s">
        <v>5890</v>
      </c>
      <c r="B1274" s="1" t="s">
        <v>13</v>
      </c>
      <c r="C1274" s="4" t="s">
        <v>5895</v>
      </c>
      <c r="D1274" s="1" t="s">
        <v>5896</v>
      </c>
      <c r="E1274" s="1" t="s">
        <v>5897</v>
      </c>
      <c r="F1274" s="4" t="s">
        <v>17</v>
      </c>
      <c r="G1274" s="1" t="s">
        <v>18</v>
      </c>
      <c r="H1274" s="1" t="s">
        <v>19</v>
      </c>
      <c r="I1274" s="1" t="s">
        <v>20</v>
      </c>
      <c r="J1274" s="1" t="s">
        <v>5898</v>
      </c>
      <c r="K1274" s="1" t="s">
        <v>22</v>
      </c>
      <c r="L1274" s="1" t="str">
        <f>HYPERLINK("https://files.afu.se/Downloads/Transcripts/0%20-%20Government/USA%20-%20NASA%20Kennedy/2012 04 17 - NASA's Kennedy Space Center - Discovery Departs Kennedy (Natural Sound)_6GW7FGt19wA - transcript (automated).pdf","Transcript Link")</f>
        <v>Transcript Link</v>
      </c>
      <c r="M1274" s="2" t="str">
        <f>HYPERLINK("https://files.afu.se/Downloads/Transcripts/0%20-%20Government/USA%20-%20NASA%20Kennedy/2012 04 17 - NASA's Kennedy Space Center - Discovery Departs Kennedy (Natural Sound)_6GW7FGt19wA - transcript (automated).pdf","Transcript Link")</f>
        <v>Transcript Link</v>
      </c>
    </row>
    <row r="1275" ht="180" spans="1:13">
      <c r="A1275" s="1" t="s">
        <v>5890</v>
      </c>
      <c r="B1275" s="1" t="s">
        <v>13</v>
      </c>
      <c r="C1275" s="4" t="s">
        <v>5899</v>
      </c>
      <c r="D1275" s="1" t="s">
        <v>5900</v>
      </c>
      <c r="E1275" s="1" t="s">
        <v>5901</v>
      </c>
      <c r="F1275" s="4" t="s">
        <v>17</v>
      </c>
      <c r="G1275" s="1" t="s">
        <v>18</v>
      </c>
      <c r="H1275" s="1" t="s">
        <v>19</v>
      </c>
      <c r="I1275" s="1" t="s">
        <v>20</v>
      </c>
      <c r="J1275" s="1" t="s">
        <v>5902</v>
      </c>
      <c r="K1275" s="1" t="s">
        <v>22</v>
      </c>
      <c r="L1275" s="1" t="str">
        <f>HYPERLINK("https://files.afu.se/Downloads/Transcripts/0%20-%20Government/USA%20-%20NASA%20Kennedy/2012 04 17 - NASA's Kennedy Space Center - Aerial Footage of Shuttle Discovery Atop a NASA Shuttle Carrier Aircraft_HneS8n6xIOM - transcript (automated).pdf","Transcript Link")</f>
        <v>Transcript Link</v>
      </c>
      <c r="M1275" s="2" t="str">
        <f>HYPERLINK("https://files.afu.se/Downloads/Transcripts/0%20-%20Government/USA%20-%20NASA%20Kennedy/2012 04 17 - NASA's Kennedy Space Center - Aerial Footage of Shuttle Discovery Atop a NASA Shuttle Carrier Aircraft_HneS8n6xIOM - transcript (automated).pdf","Transcript Link")</f>
        <v>Transcript Link</v>
      </c>
    </row>
    <row r="1276" ht="180" spans="1:13">
      <c r="A1276" s="1" t="s">
        <v>5890</v>
      </c>
      <c r="B1276" s="1" t="s">
        <v>13</v>
      </c>
      <c r="C1276" s="4" t="s">
        <v>5903</v>
      </c>
      <c r="D1276" s="1" t="s">
        <v>5904</v>
      </c>
      <c r="E1276" s="1" t="s">
        <v>5905</v>
      </c>
      <c r="F1276" s="4" t="s">
        <v>17</v>
      </c>
      <c r="G1276" s="1" t="s">
        <v>18</v>
      </c>
      <c r="H1276" s="1" t="s">
        <v>19</v>
      </c>
      <c r="I1276" s="1" t="s">
        <v>20</v>
      </c>
      <c r="J1276" s="1" t="s">
        <v>5906</v>
      </c>
      <c r="K1276" s="1" t="s">
        <v>22</v>
      </c>
      <c r="L1276" s="1" t="str">
        <f>HYPERLINK("https://files.afu.se/Downloads/Transcripts/0%20-%20Government/USA%20-%20NASA%20Kennedy/2012 04 17 - NASA's Kennedy Space Center - Timelapse Footage  Space Shuttle Discovery Arrives at the Mate Demate Device_hBN1LHKGjXM - transcript (automated).pdf","Transcript Link")</f>
        <v>Transcript Link</v>
      </c>
      <c r="M1276" s="2" t="str">
        <f>HYPERLINK("https://files.afu.se/Downloads/Transcripts/0%20-%20Government/USA%20-%20NASA%20Kennedy/2012 04 17 - NASA's Kennedy Space Center - Timelapse Footage  Space Shuttle Discovery Arrives at the Mate Demate Device_hBN1LHKGjXM - transcript (automated).pdf","Transcript Link")</f>
        <v>Transcript Link</v>
      </c>
    </row>
    <row r="1277" ht="180" spans="1:13">
      <c r="A1277" s="1" t="s">
        <v>5907</v>
      </c>
      <c r="B1277" s="1" t="s">
        <v>13</v>
      </c>
      <c r="C1277" s="4" t="s">
        <v>5908</v>
      </c>
      <c r="D1277" s="1" t="s">
        <v>5909</v>
      </c>
      <c r="E1277" s="1" t="s">
        <v>5910</v>
      </c>
      <c r="F1277" s="4" t="s">
        <v>17</v>
      </c>
      <c r="G1277" s="1" t="s">
        <v>18</v>
      </c>
      <c r="H1277" s="1" t="s">
        <v>19</v>
      </c>
      <c r="I1277" s="1" t="s">
        <v>20</v>
      </c>
      <c r="J1277" s="1" t="s">
        <v>5911</v>
      </c>
      <c r="K1277" s="1" t="s">
        <v>22</v>
      </c>
      <c r="L1277" s="1" t="str">
        <f>HYPERLINK("https://files.afu.se/Downloads/Transcripts/0%20-%20Government/USA%20-%20NASA%20Kennedy/2012 04 06 - NASA's Kennedy Space Center - Space Shuttle Era  Ferry Flights_objbcnqCmXk - transcript (automated).pdf","Transcript Link")</f>
        <v>Transcript Link</v>
      </c>
      <c r="M1277" s="2" t="str">
        <f>HYPERLINK("https://files.afu.se/Downloads/Transcripts/0%20-%20Government/USA%20-%20NASA%20Kennedy/2012 04 06 - NASA's Kennedy Space Center - Space Shuttle Era  Ferry Flights_objbcnqCmXk - transcript (automated).pdf","Transcript Link")</f>
        <v>Transcript Link</v>
      </c>
    </row>
    <row r="1278" ht="180" spans="1:13">
      <c r="A1278" s="1" t="s">
        <v>5912</v>
      </c>
      <c r="B1278" s="1" t="s">
        <v>13</v>
      </c>
      <c r="C1278" s="4" t="s">
        <v>5913</v>
      </c>
      <c r="D1278" s="1" t="s">
        <v>5914</v>
      </c>
      <c r="E1278" s="1" t="s">
        <v>5915</v>
      </c>
      <c r="F1278" s="4" t="s">
        <v>17</v>
      </c>
      <c r="G1278" s="1" t="s">
        <v>18</v>
      </c>
      <c r="H1278" s="1" t="s">
        <v>19</v>
      </c>
      <c r="I1278" s="1" t="s">
        <v>20</v>
      </c>
      <c r="J1278" s="1" t="s">
        <v>5916</v>
      </c>
      <c r="K1278" s="1" t="s">
        <v>22</v>
      </c>
      <c r="L1278" s="1" t="str">
        <f>HYPERLINK("https://files.afu.se/Downloads/Transcripts/0%20-%20Government/USA%20-%20NASA%20Kennedy/2012 03 28 - NASA's Kennedy Space Center - Emergency Egress Slidewire Baskets Released for the Final Time_TGMWdtQYkbc - transcript (automated).pdf","Transcript Link")</f>
        <v>Transcript Link</v>
      </c>
      <c r="M1278" s="2" t="str">
        <f>HYPERLINK("https://files.afu.se/Downloads/Transcripts/0%20-%20Government/USA%20-%20NASA%20Kennedy/2012 03 28 - NASA's Kennedy Space Center - Emergency Egress Slidewire Baskets Released for the Final Time_TGMWdtQYkbc - transcript (automated).pdf","Transcript Link")</f>
        <v>Transcript Link</v>
      </c>
    </row>
    <row r="1279" ht="180" spans="1:13">
      <c r="A1279" s="1" t="s">
        <v>5917</v>
      </c>
      <c r="B1279" s="1" t="s">
        <v>13</v>
      </c>
      <c r="C1279" s="4" t="s">
        <v>5918</v>
      </c>
      <c r="D1279" s="1" t="s">
        <v>5919</v>
      </c>
      <c r="E1279" s="1" t="s">
        <v>5710</v>
      </c>
      <c r="F1279" s="4" t="s">
        <v>17</v>
      </c>
      <c r="G1279" s="1" t="s">
        <v>18</v>
      </c>
      <c r="H1279" s="1" t="s">
        <v>19</v>
      </c>
      <c r="I1279" s="1" t="s">
        <v>20</v>
      </c>
      <c r="J1279" s="1" t="s">
        <v>5920</v>
      </c>
      <c r="K1279" s="1" t="s">
        <v>22</v>
      </c>
      <c r="L1279" s="1" t="str">
        <f>HYPERLINK("https://files.afu.se/Downloads/Transcripts/0%20-%20Government/USA%20-%20NASA%20Kennedy/2012 03 23 - NASA's Kennedy Space Center - 50 Years of Progress  Women@KSC_MnJ6Aexdldg - transcript (automated).pdf","Transcript Link")</f>
        <v>Transcript Link</v>
      </c>
      <c r="M1279" s="2" t="str">
        <f>HYPERLINK("https://files.afu.se/Downloads/Transcripts/0%20-%20Government/USA%20-%20NASA%20Kennedy/2012 03 23 - NASA's Kennedy Space Center - 50 Years of Progress  Women@KSC_MnJ6Aexdldg - transcript (automated).pdf","Transcript Link")</f>
        <v>Transcript Link</v>
      </c>
    </row>
    <row r="1280" ht="180" spans="1:13">
      <c r="A1280" s="1" t="s">
        <v>5921</v>
      </c>
      <c r="B1280" s="1" t="s">
        <v>13</v>
      </c>
      <c r="C1280" s="4" t="s">
        <v>5922</v>
      </c>
      <c r="D1280" s="1" t="s">
        <v>5923</v>
      </c>
      <c r="E1280" s="1" t="s">
        <v>5924</v>
      </c>
      <c r="F1280" s="4" t="s">
        <v>17</v>
      </c>
      <c r="G1280" s="1" t="s">
        <v>18</v>
      </c>
      <c r="H1280" s="1" t="s">
        <v>19</v>
      </c>
      <c r="I1280" s="1" t="s">
        <v>20</v>
      </c>
      <c r="J1280" s="1" t="s">
        <v>5925</v>
      </c>
      <c r="K1280" s="1" t="s">
        <v>22</v>
      </c>
      <c r="L1280" s="1" t="str">
        <f>HYPERLINK("https://files.afu.se/Downloads/Transcripts/0%20-%20Government/USA%20-%20NASA%20Kennedy/2012 03 09 - NASA's Kennedy Space Center - Space Shuttle Era  Power Down_o1WcJDMlfCA - transcript (automated).pdf","Transcript Link")</f>
        <v>Transcript Link</v>
      </c>
      <c r="M1280" s="2" t="str">
        <f>HYPERLINK("https://files.afu.se/Downloads/Transcripts/0%20-%20Government/USA%20-%20NASA%20Kennedy/2012 03 09 - NASA's Kennedy Space Center - Space Shuttle Era  Power Down_o1WcJDMlfCA - transcript (automated).pdf","Transcript Link")</f>
        <v>Transcript Link</v>
      </c>
    </row>
    <row r="1281" ht="360" spans="1:13">
      <c r="A1281" s="1" t="s">
        <v>5926</v>
      </c>
      <c r="B1281" s="1" t="s">
        <v>13</v>
      </c>
      <c r="C1281" s="4" t="s">
        <v>5927</v>
      </c>
      <c r="D1281" s="1" t="s">
        <v>5928</v>
      </c>
      <c r="E1281" s="1" t="s">
        <v>5929</v>
      </c>
      <c r="F1281" s="4" t="s">
        <v>17</v>
      </c>
      <c r="G1281" s="1" t="s">
        <v>18</v>
      </c>
      <c r="H1281" s="1" t="s">
        <v>19</v>
      </c>
      <c r="I1281" s="1" t="s">
        <v>20</v>
      </c>
      <c r="J1281" s="1" t="s">
        <v>5930</v>
      </c>
      <c r="K1281" s="1" t="s">
        <v>22</v>
      </c>
      <c r="L1281" s="1" t="str">
        <f>HYPERLINK("https://files.afu.se/Downloads/Transcripts/0%20-%20Government/USA%20-%20NASA%20Kennedy/2012 02 28 - NASA's Kennedy Space Center - Commercial Crew Program  Taking America To New Heights _4J5q2nMeqoQ - transcript (automated).pdf","Transcript Link")</f>
        <v>Transcript Link</v>
      </c>
      <c r="M1281" s="2" t="str">
        <f>HYPERLINK("https://files.afu.se/Downloads/Transcripts/0%20-%20Government/USA%20-%20NASA%20Kennedy/2012 02 28 - NASA's Kennedy Space Center - Commercial Crew Program  Taking America To New Heights _4J5q2nMeqoQ - transcript (automated).pdf","Transcript Link")</f>
        <v>Transcript Link</v>
      </c>
    </row>
    <row r="1282" ht="195" spans="1:13">
      <c r="A1282" s="1" t="s">
        <v>5931</v>
      </c>
      <c r="B1282" s="1" t="s">
        <v>13</v>
      </c>
      <c r="C1282" s="4" t="s">
        <v>5932</v>
      </c>
      <c r="D1282" s="1" t="s">
        <v>5933</v>
      </c>
      <c r="E1282" s="1" t="s">
        <v>5934</v>
      </c>
      <c r="F1282" s="4" t="s">
        <v>17</v>
      </c>
      <c r="G1282" s="1" t="s">
        <v>18</v>
      </c>
      <c r="H1282" s="1" t="s">
        <v>19</v>
      </c>
      <c r="I1282" s="1" t="s">
        <v>20</v>
      </c>
      <c r="J1282" s="1" t="s">
        <v>5935</v>
      </c>
      <c r="K1282" s="1" t="s">
        <v>22</v>
      </c>
      <c r="L1282" s="1" t="str">
        <f>HYPERLINK("https://files.afu.se/Downloads/Transcripts/0%20-%20Government/USA%20-%20NASA%20Kennedy/2012 02 22 - NASA's Kennedy Space Center - Astronauts Mark 50 Years of Americans in Orbit_fpUOOBNK_vM - transcript (automated).pdf","Transcript Link")</f>
        <v>Transcript Link</v>
      </c>
      <c r="M1282" s="2" t="str">
        <f>HYPERLINK("https://files.afu.se/Downloads/Transcripts/0%20-%20Government/USA%20-%20NASA%20Kennedy/2012 02 22 - NASA's Kennedy Space Center - Astronauts Mark 50 Years of Americans in Orbit_fpUOOBNK_vM - transcript (automated).pdf","Transcript Link")</f>
        <v>Transcript Link</v>
      </c>
    </row>
    <row r="1283" ht="180" spans="1:13">
      <c r="A1283" s="1" t="s">
        <v>5936</v>
      </c>
      <c r="B1283" s="1" t="s">
        <v>13</v>
      </c>
      <c r="C1283" s="4" t="s">
        <v>5937</v>
      </c>
      <c r="D1283" s="1" t="s">
        <v>5938</v>
      </c>
      <c r="E1283" s="1" t="s">
        <v>5939</v>
      </c>
      <c r="F1283" s="4" t="s">
        <v>17</v>
      </c>
      <c r="G1283" s="1" t="s">
        <v>18</v>
      </c>
      <c r="H1283" s="1" t="s">
        <v>19</v>
      </c>
      <c r="I1283" s="1" t="s">
        <v>20</v>
      </c>
      <c r="J1283" s="1" t="s">
        <v>5940</v>
      </c>
      <c r="K1283" s="1" t="s">
        <v>22</v>
      </c>
      <c r="L1283" s="1" t="str">
        <f>HYPERLINK("https://files.afu.se/Downloads/Transcripts/0%20-%20Government/USA%20-%20NASA%20Kennedy/2012 02 16 - NASA's Kennedy Space Center - 50th Anniversary of Mercury Orbital Flight_rlk6ZyBap6U - transcript (automated).pdf","Transcript Link")</f>
        <v>Transcript Link</v>
      </c>
      <c r="M1283" s="2" t="str">
        <f>HYPERLINK("https://files.afu.se/Downloads/Transcripts/0%20-%20Government/USA%20-%20NASA%20Kennedy/2012 02 16 - NASA's Kennedy Space Center - 50th Anniversary of Mercury Orbital Flight_rlk6ZyBap6U - transcript (automated).pdf","Transcript Link")</f>
        <v>Transcript Link</v>
      </c>
    </row>
    <row r="1284" ht="195" spans="1:13">
      <c r="A1284" s="1" t="s">
        <v>5941</v>
      </c>
      <c r="B1284" s="1" t="s">
        <v>13</v>
      </c>
      <c r="C1284" s="4" t="s">
        <v>5942</v>
      </c>
      <c r="D1284" s="1" t="s">
        <v>5943</v>
      </c>
      <c r="E1284" s="1" t="s">
        <v>5944</v>
      </c>
      <c r="F1284" s="4" t="s">
        <v>17</v>
      </c>
      <c r="G1284" s="1" t="s">
        <v>18</v>
      </c>
      <c r="H1284" s="1" t="s">
        <v>19</v>
      </c>
      <c r="I1284" s="1" t="s">
        <v>20</v>
      </c>
      <c r="J1284" s="1" t="s">
        <v>5945</v>
      </c>
      <c r="K1284" s="1" t="s">
        <v>22</v>
      </c>
      <c r="L1284" s="1" t="str">
        <f>HYPERLINK("https://files.afu.se/Downloads/Transcripts/0%20-%20Government/USA%20-%20NASA%20Kennedy/2012 02 07 - NASA's Kennedy Space Center - Space Shuttle Era  Crew Quarters_nZ9NKStsYRc - transcript (automated).pdf","Transcript Link")</f>
        <v>Transcript Link</v>
      </c>
      <c r="M1284" s="2" t="str">
        <f>HYPERLINK("https://files.afu.se/Downloads/Transcripts/0%20-%20Government/USA%20-%20NASA%20Kennedy/2012 02 07 - NASA's Kennedy Space Center - Space Shuttle Era  Crew Quarters_nZ9NKStsYRc - transcript (automated).pdf","Transcript Link")</f>
        <v>Transcript Link</v>
      </c>
    </row>
    <row r="1285" ht="195" spans="1:13">
      <c r="A1285" s="1" t="s">
        <v>5946</v>
      </c>
      <c r="B1285" s="1" t="s">
        <v>13</v>
      </c>
      <c r="C1285" s="4" t="s">
        <v>5947</v>
      </c>
      <c r="D1285" s="1" t="s">
        <v>5948</v>
      </c>
      <c r="E1285" s="1" t="s">
        <v>5949</v>
      </c>
      <c r="F1285" s="4" t="s">
        <v>17</v>
      </c>
      <c r="G1285" s="1" t="s">
        <v>18</v>
      </c>
      <c r="H1285" s="1" t="s">
        <v>19</v>
      </c>
      <c r="I1285" s="1" t="s">
        <v>20</v>
      </c>
      <c r="J1285" s="1" t="s">
        <v>5950</v>
      </c>
      <c r="K1285" s="1" t="s">
        <v>22</v>
      </c>
      <c r="L1285" s="1" t="str">
        <f>HYPERLINK("https://files.afu.se/Downloads/Transcripts/0%20-%20Government/USA%20-%20NASA%20Kennedy/2012 02 01 - NASA's Kennedy Space Center - M113  Armored Rescuer_1zjfXm07Dg8 - transcript (automated).pdf","Transcript Link")</f>
        <v>Transcript Link</v>
      </c>
      <c r="M1285" s="2" t="str">
        <f>HYPERLINK("https://files.afu.se/Downloads/Transcripts/0%20-%20Government/USA%20-%20NASA%20Kennedy/2012 02 01 - NASA's Kennedy Space Center - M113  Armored Rescuer_1zjfXm07Dg8 - transcript (automated).pdf","Transcript Link")</f>
        <v>Transcript Link</v>
      </c>
    </row>
    <row r="1286" ht="180" spans="1:13">
      <c r="A1286" s="1" t="s">
        <v>5951</v>
      </c>
      <c r="B1286" s="1" t="s">
        <v>13</v>
      </c>
      <c r="C1286" s="4" t="s">
        <v>5952</v>
      </c>
      <c r="D1286" s="1" t="s">
        <v>5953</v>
      </c>
      <c r="E1286" s="1" t="s">
        <v>5954</v>
      </c>
      <c r="F1286" s="4" t="s">
        <v>17</v>
      </c>
      <c r="G1286" s="1" t="s">
        <v>18</v>
      </c>
      <c r="H1286" s="1" t="s">
        <v>19</v>
      </c>
      <c r="I1286" s="1" t="s">
        <v>20</v>
      </c>
      <c r="J1286" s="1" t="s">
        <v>5955</v>
      </c>
      <c r="K1286" s="1" t="s">
        <v>22</v>
      </c>
      <c r="L1286" s="1" t="str">
        <f>HYPERLINK("https://files.afu.se/Downloads/Transcripts/0%20-%20Government/USA%20-%20NASA%20Kennedy/2012 01 27 - NASA's Kennedy Space Center - In Their Own Words  Astronaut Chris Hadfield_uSwwYl3lRtc - transcript (automated).pdf","Transcript Link")</f>
        <v>Transcript Link</v>
      </c>
      <c r="M1286" s="2" t="str">
        <f>HYPERLINK("https://files.afu.se/Downloads/Transcripts/0%20-%20Government/USA%20-%20NASA%20Kennedy/2012 01 27 - NASA's Kennedy Space Center - In Their Own Words  Astronaut Chris Hadfield_uSwwYl3lRtc - transcript (automated).pdf","Transcript Link")</f>
        <v>Transcript Link</v>
      </c>
    </row>
    <row r="1287" ht="180" spans="1:13">
      <c r="A1287" s="1" t="s">
        <v>5956</v>
      </c>
      <c r="B1287" s="1" t="s">
        <v>13</v>
      </c>
      <c r="C1287" s="4" t="s">
        <v>5957</v>
      </c>
      <c r="D1287" s="1" t="s">
        <v>5958</v>
      </c>
      <c r="E1287" s="1" t="s">
        <v>5959</v>
      </c>
      <c r="F1287" s="4" t="s">
        <v>17</v>
      </c>
      <c r="G1287" s="1" t="s">
        <v>18</v>
      </c>
      <c r="H1287" s="1" t="s">
        <v>19</v>
      </c>
      <c r="I1287" s="1" t="s">
        <v>20</v>
      </c>
      <c r="J1287" s="1" t="s">
        <v>5960</v>
      </c>
      <c r="K1287" s="1" t="s">
        <v>22</v>
      </c>
      <c r="L1287" s="1" t="str">
        <f>HYPERLINK("https://files.afu.se/Downloads/Transcripts/0%20-%20Government/USA%20-%20NASA%20Kennedy/2012 01 19 - NASA's Kennedy Space Center - Space Shuttle Atlantis Groundbreaking Event_K5mdGyAgrwg - transcript (automated).pdf","Transcript Link")</f>
        <v>Transcript Link</v>
      </c>
      <c r="M1287" s="2" t="str">
        <f>HYPERLINK("https://files.afu.se/Downloads/Transcripts/0%20-%20Government/USA%20-%20NASA%20Kennedy/2012 01 19 - NASA's Kennedy Space Center - Space Shuttle Atlantis Groundbreaking Event_K5mdGyAgrwg - transcript (automated).pdf","Transcript Link")</f>
        <v>Transcript Link</v>
      </c>
    </row>
    <row r="1288" ht="180" spans="1:13">
      <c r="A1288" s="1" t="s">
        <v>5961</v>
      </c>
      <c r="B1288" s="1" t="s">
        <v>13</v>
      </c>
      <c r="C1288" s="4" t="s">
        <v>5962</v>
      </c>
      <c r="D1288" s="1" t="s">
        <v>5963</v>
      </c>
      <c r="E1288" s="1" t="s">
        <v>5710</v>
      </c>
      <c r="F1288" s="4" t="s">
        <v>17</v>
      </c>
      <c r="G1288" s="1" t="s">
        <v>18</v>
      </c>
      <c r="H1288" s="1" t="s">
        <v>19</v>
      </c>
      <c r="I1288" s="1" t="s">
        <v>20</v>
      </c>
      <c r="J1288" s="1" t="s">
        <v>5964</v>
      </c>
      <c r="K1288" s="1" t="s">
        <v>22</v>
      </c>
      <c r="L1288" s="1" t="str">
        <f>HYPERLINK("https://files.afu.se/Downloads/Transcripts/0%20-%20Government/USA%20-%20NASA%20Kennedy/2012 01 06 - NASA's Kennedy Space Center - KSC's Propellant North Facility- LEED Building Sets Green Standard_fFsHG8JEaA0 - transcript (automated).pdf","Transcript Link")</f>
        <v>Transcript Link</v>
      </c>
      <c r="M1288" s="2" t="str">
        <f>HYPERLINK("https://files.afu.se/Downloads/Transcripts/0%20-%20Government/USA%20-%20NASA%20Kennedy/2012 01 06 - NASA's Kennedy Space Center - KSC's Propellant North Facility- LEED Building Sets Green Standard_fFsHG8JEaA0 - transcript (automated).pdf","Transcript Link")</f>
        <v>Transcript Link</v>
      </c>
    </row>
    <row r="1289" ht="180" spans="1:13">
      <c r="A1289" s="1" t="s">
        <v>5965</v>
      </c>
      <c r="B1289" s="1" t="s">
        <v>13</v>
      </c>
      <c r="C1289" s="4" t="s">
        <v>5966</v>
      </c>
      <c r="D1289" s="1" t="s">
        <v>5967</v>
      </c>
      <c r="E1289" s="1" t="s">
        <v>5968</v>
      </c>
      <c r="F1289" s="4" t="s">
        <v>17</v>
      </c>
      <c r="G1289" s="1" t="s">
        <v>18</v>
      </c>
      <c r="H1289" s="1" t="s">
        <v>19</v>
      </c>
      <c r="I1289" s="1" t="s">
        <v>20</v>
      </c>
      <c r="J1289" s="1" t="s">
        <v>5969</v>
      </c>
      <c r="K1289" s="1" t="s">
        <v>22</v>
      </c>
      <c r="L1289" s="1" t="str">
        <f>HYPERLINK("https://files.afu.se/Downloads/Transcripts/0%20-%20Government/USA%20-%20NASA%20Kennedy/2011 12 16 - NASA's Kennedy Space Center - Space Shuttle Era  External Tank and Solid Rocket Boosters_0NXWL99lcJs - transcript (automated).pdf","Transcript Link")</f>
        <v>Transcript Link</v>
      </c>
      <c r="M1289" s="2" t="str">
        <f>HYPERLINK("https://files.afu.se/Downloads/Transcripts/0%20-%20Government/USA%20-%20NASA%20Kennedy/2011 12 16 - NASA's Kennedy Space Center - Space Shuttle Era  External Tank and Solid Rocket Boosters_0NXWL99lcJs - transcript (automated).pdf","Transcript Link")</f>
        <v>Transcript Link</v>
      </c>
    </row>
    <row r="1290" ht="180" spans="1:13">
      <c r="A1290" s="1" t="s">
        <v>5970</v>
      </c>
      <c r="B1290" s="1" t="s">
        <v>13</v>
      </c>
      <c r="C1290" s="4" t="s">
        <v>5971</v>
      </c>
      <c r="D1290" s="1" t="s">
        <v>5972</v>
      </c>
      <c r="E1290" s="1" t="s">
        <v>5973</v>
      </c>
      <c r="F1290" s="4" t="s">
        <v>17</v>
      </c>
      <c r="G1290" s="1" t="s">
        <v>18</v>
      </c>
      <c r="H1290" s="1" t="s">
        <v>19</v>
      </c>
      <c r="I1290" s="1" t="s">
        <v>20</v>
      </c>
      <c r="J1290" s="1" t="s">
        <v>5974</v>
      </c>
      <c r="K1290" s="1" t="s">
        <v>22</v>
      </c>
      <c r="L1290" s="1" t="str">
        <f>HYPERLINK("https://files.afu.se/Downloads/Transcripts/0%20-%20Government/USA%20-%20NASA%20Kennedy/2011 12 15 - NASA's Kennedy Space Center - In Their Own Words  Astronaut Barbara Morgan_-Fi1UNsr1ek - transcript (automated).pdf","Transcript Link")</f>
        <v>Transcript Link</v>
      </c>
      <c r="M1290" s="2" t="str">
        <f>HYPERLINK("https://files.afu.se/Downloads/Transcripts/0%20-%20Government/USA%20-%20NASA%20Kennedy/2011 12 15 - NASA's Kennedy Space Center - In Their Own Words  Astronaut Barbara Morgan_-Fi1UNsr1ek - transcript (automated).pdf","Transcript Link")</f>
        <v>Transcript Link</v>
      </c>
    </row>
    <row r="1291" ht="180" spans="1:13">
      <c r="A1291" s="1" t="s">
        <v>5975</v>
      </c>
      <c r="B1291" s="1" t="s">
        <v>13</v>
      </c>
      <c r="C1291" s="4" t="s">
        <v>5976</v>
      </c>
      <c r="D1291" s="1" t="s">
        <v>5977</v>
      </c>
      <c r="E1291" s="1" t="s">
        <v>5978</v>
      </c>
      <c r="F1291" s="4" t="s">
        <v>17</v>
      </c>
      <c r="G1291" s="1" t="s">
        <v>18</v>
      </c>
      <c r="H1291" s="1" t="s">
        <v>19</v>
      </c>
      <c r="I1291" s="1" t="s">
        <v>20</v>
      </c>
      <c r="J1291" s="1" t="s">
        <v>5979</v>
      </c>
      <c r="K1291" s="1" t="s">
        <v>22</v>
      </c>
      <c r="L1291" s="1" t="str">
        <f>HYPERLINK("https://files.afu.se/Downloads/Transcripts/0%20-%20Government/USA%20-%20NASA%20Kennedy/2011 12 14 - NASA's Kennedy Space Center - In Their Own Words  Ed Mango_iTtti4JKbUA - transcript (automated).pdf","Transcript Link")</f>
        <v>Transcript Link</v>
      </c>
      <c r="M1291" s="2" t="str">
        <f>HYPERLINK("https://files.afu.se/Downloads/Transcripts/0%20-%20Government/USA%20-%20NASA%20Kennedy/2011 12 14 - NASA's Kennedy Space Center - In Their Own Words  Ed Mango_iTtti4JKbUA - transcript (automated).pdf","Transcript Link")</f>
        <v>Transcript Link</v>
      </c>
    </row>
    <row r="1292" ht="195" spans="1:13">
      <c r="A1292" s="1" t="s">
        <v>5980</v>
      </c>
      <c r="B1292" s="1" t="s">
        <v>13</v>
      </c>
      <c r="C1292" s="4" t="s">
        <v>5981</v>
      </c>
      <c r="D1292" s="1" t="s">
        <v>5982</v>
      </c>
      <c r="E1292" s="1" t="s">
        <v>5983</v>
      </c>
      <c r="F1292" s="4" t="s">
        <v>17</v>
      </c>
      <c r="G1292" s="1" t="s">
        <v>18</v>
      </c>
      <c r="H1292" s="1" t="s">
        <v>19</v>
      </c>
      <c r="I1292" s="1" t="s">
        <v>20</v>
      </c>
      <c r="J1292" s="1" t="s">
        <v>5984</v>
      </c>
      <c r="K1292" s="1" t="s">
        <v>22</v>
      </c>
      <c r="L1292" s="1" t="str">
        <f>HYPERLINK("https://files.afu.se/Downloads/Transcripts/0%20-%20Government/USA%20-%20NASA%20Kennedy/2011 12 02 - NASA's Kennedy Space Center - Time Lapse  Mobile Launcher Moves_GYyoOkv5ahk - transcript (automated).pdf","Transcript Link")</f>
        <v>Transcript Link</v>
      </c>
      <c r="M1292" s="2" t="str">
        <f>HYPERLINK("https://files.afu.se/Downloads/Transcripts/0%20-%20Government/USA%20-%20NASA%20Kennedy/2011 12 02 - NASA's Kennedy Space Center - Time Lapse  Mobile Launcher Moves_GYyoOkv5ahk - transcript (automated).pdf","Transcript Link")</f>
        <v>Transcript Link</v>
      </c>
    </row>
    <row r="1293" ht="180" spans="1:13">
      <c r="A1293" s="1" t="s">
        <v>5985</v>
      </c>
      <c r="B1293" s="1" t="s">
        <v>13</v>
      </c>
      <c r="C1293" s="4" t="s">
        <v>5986</v>
      </c>
      <c r="D1293" s="1" t="s">
        <v>5987</v>
      </c>
      <c r="E1293" s="1" t="s">
        <v>5988</v>
      </c>
      <c r="F1293" s="4" t="s">
        <v>17</v>
      </c>
      <c r="G1293" s="1" t="s">
        <v>18</v>
      </c>
      <c r="H1293" s="1" t="s">
        <v>19</v>
      </c>
      <c r="I1293" s="1" t="s">
        <v>20</v>
      </c>
      <c r="J1293" s="1" t="s">
        <v>5989</v>
      </c>
      <c r="K1293" s="1" t="s">
        <v>22</v>
      </c>
      <c r="L1293" s="1" t="str">
        <f>HYPERLINK("https://files.afu.se/Downloads/Transcripts/0%20-%20Government/USA%20-%20NASA%20Kennedy/2011 11 26 - NASA's Kennedy Space Center - MSL  Interview with Launch Manager Omar Baez_5Wpo_VVhSZ0 - transcript (automated).pdf","Transcript Link")</f>
        <v>Transcript Link</v>
      </c>
      <c r="M1293" s="2" t="str">
        <f>HYPERLINK("https://files.afu.se/Downloads/Transcripts/0%20-%20Government/USA%20-%20NASA%20Kennedy/2011 11 26 - NASA's Kennedy Space Center - MSL  Interview with Launch Manager Omar Baez_5Wpo_VVhSZ0 - transcript (automated).pdf","Transcript Link")</f>
        <v>Transcript Link</v>
      </c>
    </row>
    <row r="1294" ht="180" spans="1:13">
      <c r="A1294" s="1" t="s">
        <v>5985</v>
      </c>
      <c r="B1294" s="1" t="s">
        <v>13</v>
      </c>
      <c r="C1294" s="4" t="s">
        <v>5990</v>
      </c>
      <c r="D1294" s="1" t="s">
        <v>5991</v>
      </c>
      <c r="E1294" s="1" t="s">
        <v>5992</v>
      </c>
      <c r="F1294" s="4" t="s">
        <v>17</v>
      </c>
      <c r="G1294" s="1" t="s">
        <v>18</v>
      </c>
      <c r="H1294" s="1" t="s">
        <v>19</v>
      </c>
      <c r="I1294" s="1" t="s">
        <v>20</v>
      </c>
      <c r="J1294" s="1" t="s">
        <v>5993</v>
      </c>
      <c r="K1294" s="1" t="s">
        <v>22</v>
      </c>
      <c r="L1294" s="1" t="str">
        <f>HYPERLINK("https://files.afu.se/Downloads/Transcripts/0%20-%20Government/USA%20-%20NASA%20Kennedy/2011 11 26 - NASA's Kennedy Space Center - MSL Spacecraft Mars Bound_Fxzwf99_feo - transcript (automated).pdf","Transcript Link")</f>
        <v>Transcript Link</v>
      </c>
      <c r="M1294" s="2" t="str">
        <f>HYPERLINK("https://files.afu.se/Downloads/Transcripts/0%20-%20Government/USA%20-%20NASA%20Kennedy/2011 11 26 - NASA's Kennedy Space Center - MSL Spacecraft Mars Bound_Fxzwf99_feo - transcript (automated).pdf","Transcript Link")</f>
        <v>Transcript Link</v>
      </c>
    </row>
    <row r="1295" ht="180" spans="1:13">
      <c r="A1295" s="1" t="s">
        <v>5985</v>
      </c>
      <c r="B1295" s="1" t="s">
        <v>13</v>
      </c>
      <c r="C1295" s="4" t="s">
        <v>5994</v>
      </c>
      <c r="D1295" s="1" t="s">
        <v>5995</v>
      </c>
      <c r="E1295" s="1" t="s">
        <v>5996</v>
      </c>
      <c r="F1295" s="4" t="s">
        <v>17</v>
      </c>
      <c r="G1295" s="1" t="s">
        <v>18</v>
      </c>
      <c r="H1295" s="1" t="s">
        <v>19</v>
      </c>
      <c r="I1295" s="1" t="s">
        <v>20</v>
      </c>
      <c r="J1295" s="1" t="s">
        <v>5997</v>
      </c>
      <c r="K1295" s="1" t="s">
        <v>22</v>
      </c>
      <c r="L1295" s="1" t="str">
        <f>HYPERLINK("https://files.afu.se/Downloads/Transcripts/0%20-%20Government/USA%20-%20NASA%20Kennedy/2011 11 26 - NASA's Kennedy Space Center - MSL  Go  for Launch Poll_xTyWl8TPNBM - transcript (automated).pdf","Transcript Link")</f>
        <v>Transcript Link</v>
      </c>
      <c r="M1295" s="2" t="str">
        <f>HYPERLINK("https://files.afu.se/Downloads/Transcripts/0%20-%20Government/USA%20-%20NASA%20Kennedy/2011 11 26 - NASA's Kennedy Space Center - MSL  Go  for Launch Poll_xTyWl8TPNBM - transcript (automated).pdf","Transcript Link")</f>
        <v>Transcript Link</v>
      </c>
    </row>
    <row r="1296" ht="180" spans="1:13">
      <c r="A1296" s="1" t="s">
        <v>5985</v>
      </c>
      <c r="B1296" s="1" t="s">
        <v>13</v>
      </c>
      <c r="C1296" s="4" t="s">
        <v>5998</v>
      </c>
      <c r="D1296" s="1" t="s">
        <v>5999</v>
      </c>
      <c r="E1296" s="1" t="s">
        <v>6000</v>
      </c>
      <c r="F1296" s="4" t="s">
        <v>17</v>
      </c>
      <c r="G1296" s="1" t="s">
        <v>18</v>
      </c>
      <c r="H1296" s="1" t="s">
        <v>19</v>
      </c>
      <c r="I1296" s="1" t="s">
        <v>20</v>
      </c>
      <c r="J1296" s="1" t="s">
        <v>6001</v>
      </c>
      <c r="K1296" s="1" t="s">
        <v>22</v>
      </c>
      <c r="L1296" s="1" t="str">
        <f>HYPERLINK("https://files.afu.se/Downloads/Transcripts/0%20-%20Government/USA%20-%20NASA%20Kennedy/2011 11 26 - NASA's Kennedy Space Center - Mars Science Laboratory Launch_1QCNsKricls - transcript (automated).pdf","Transcript Link")</f>
        <v>Transcript Link</v>
      </c>
      <c r="M1296" s="2" t="str">
        <f>HYPERLINK("https://files.afu.se/Downloads/Transcripts/0%20-%20Government/USA%20-%20NASA%20Kennedy/2011 11 26 - NASA's Kennedy Space Center - Mars Science Laboratory Launch_1QCNsKricls - transcript (automated).pdf","Transcript Link")</f>
        <v>Transcript Link</v>
      </c>
    </row>
    <row r="1297" ht="180" spans="1:13">
      <c r="A1297" s="1" t="s">
        <v>5985</v>
      </c>
      <c r="B1297" s="1" t="s">
        <v>13</v>
      </c>
      <c r="C1297" s="4" t="s">
        <v>6002</v>
      </c>
      <c r="D1297" s="1" t="s">
        <v>6003</v>
      </c>
      <c r="E1297" s="1" t="s">
        <v>6004</v>
      </c>
      <c r="F1297" s="4" t="s">
        <v>17</v>
      </c>
      <c r="G1297" s="1" t="s">
        <v>18</v>
      </c>
      <c r="H1297" s="1" t="s">
        <v>19</v>
      </c>
      <c r="I1297" s="1" t="s">
        <v>20</v>
      </c>
      <c r="J1297" s="1" t="s">
        <v>6005</v>
      </c>
      <c r="K1297" s="1" t="s">
        <v>22</v>
      </c>
      <c r="L1297" s="1" t="str">
        <f>HYPERLINK("https://files.afu.se/Downloads/Transcripts/0%20-%20Government/USA%20-%20NASA%20Kennedy/2011 11 26 - NASA's Kennedy Space Center - MSL Launch Day Intro_6H6M2NzzOko - transcript (automated).pdf","Transcript Link")</f>
        <v>Transcript Link</v>
      </c>
      <c r="M1297" s="2" t="str">
        <f>HYPERLINK("https://files.afu.se/Downloads/Transcripts/0%20-%20Government/USA%20-%20NASA%20Kennedy/2011 11 26 - NASA's Kennedy Space Center - MSL Launch Day Intro_6H6M2NzzOko - transcript (automated).pdf","Transcript Link")</f>
        <v>Transcript Link</v>
      </c>
    </row>
    <row r="1298" ht="180" spans="1:13">
      <c r="A1298" s="1" t="s">
        <v>6006</v>
      </c>
      <c r="B1298" s="1" t="s">
        <v>13</v>
      </c>
      <c r="C1298" s="4" t="s">
        <v>6007</v>
      </c>
      <c r="D1298" s="1" t="s">
        <v>6008</v>
      </c>
      <c r="E1298" s="1" t="s">
        <v>6009</v>
      </c>
      <c r="F1298" s="4" t="s">
        <v>17</v>
      </c>
      <c r="G1298" s="1" t="s">
        <v>18</v>
      </c>
      <c r="H1298" s="1" t="s">
        <v>19</v>
      </c>
      <c r="I1298" s="1" t="s">
        <v>20</v>
      </c>
      <c r="J1298" s="1" t="s">
        <v>6010</v>
      </c>
      <c r="K1298" s="1" t="s">
        <v>22</v>
      </c>
      <c r="L1298" s="1" t="str">
        <f>HYPERLINK("https://files.afu.se/Downloads/Transcripts/0%20-%20Government/USA%20-%20NASA%20Kennedy/2011 11 23 - NASA's Kennedy Space Center - In Their Own Words  MSL Launch Director Omar Baez_5K4rjuPsYr8 - transcript (automated).pdf","Transcript Link")</f>
        <v>Transcript Link</v>
      </c>
      <c r="M1298" s="2" t="str">
        <f>HYPERLINK("https://files.afu.se/Downloads/Transcripts/0%20-%20Government/USA%20-%20NASA%20Kennedy/2011 11 23 - NASA's Kennedy Space Center - In Their Own Words  MSL Launch Director Omar Baez_5K4rjuPsYr8 - transcript (automated).pdf","Transcript Link")</f>
        <v>Transcript Link</v>
      </c>
    </row>
    <row r="1299" ht="180" spans="1:13">
      <c r="A1299" s="1" t="s">
        <v>6011</v>
      </c>
      <c r="B1299" s="1" t="s">
        <v>13</v>
      </c>
      <c r="C1299" s="4" t="s">
        <v>6012</v>
      </c>
      <c r="D1299" s="1" t="s">
        <v>6013</v>
      </c>
      <c r="E1299" s="1" t="s">
        <v>6014</v>
      </c>
      <c r="F1299" s="4" t="s">
        <v>17</v>
      </c>
      <c r="G1299" s="1" t="s">
        <v>18</v>
      </c>
      <c r="H1299" s="1" t="s">
        <v>19</v>
      </c>
      <c r="I1299" s="1" t="s">
        <v>20</v>
      </c>
      <c r="J1299" s="1" t="s">
        <v>6015</v>
      </c>
      <c r="K1299" s="1" t="s">
        <v>22</v>
      </c>
      <c r="L1299" s="1" t="str">
        <f>HYPERLINK("https://files.afu.se/Downloads/Transcripts/0%20-%20Government/USA%20-%20NASA%20Kennedy/2011 11 22 - NASA's Kennedy Space Center - MSL Spacecraft and Vehicle Flow_HDXl_SOjUV0 - transcript (automated).pdf","Transcript Link")</f>
        <v>Transcript Link</v>
      </c>
      <c r="M1299" s="2" t="str">
        <f>HYPERLINK("https://files.afu.se/Downloads/Transcripts/0%20-%20Government/USA%20-%20NASA%20Kennedy/2011 11 22 - NASA's Kennedy Space Center - MSL Spacecraft and Vehicle Flow_HDXl_SOjUV0 - transcript (automated).pdf","Transcript Link")</f>
        <v>Transcript Link</v>
      </c>
    </row>
    <row r="1300" ht="180" spans="1:13">
      <c r="A1300" s="1" t="s">
        <v>6016</v>
      </c>
      <c r="B1300" s="1" t="s">
        <v>13</v>
      </c>
      <c r="C1300" s="4" t="s">
        <v>6017</v>
      </c>
      <c r="D1300" s="1" t="s">
        <v>6018</v>
      </c>
      <c r="E1300" s="1" t="s">
        <v>6019</v>
      </c>
      <c r="F1300" s="4" t="s">
        <v>17</v>
      </c>
      <c r="G1300" s="1" t="s">
        <v>18</v>
      </c>
      <c r="H1300" s="1" t="s">
        <v>19</v>
      </c>
      <c r="I1300" s="1" t="s">
        <v>20</v>
      </c>
      <c r="J1300" s="1" t="s">
        <v>6020</v>
      </c>
      <c r="K1300" s="1" t="s">
        <v>22</v>
      </c>
      <c r="L1300" s="1" t="str">
        <f>HYPERLINK("https://files.afu.se/Downloads/Transcripts/0%20-%20Government/USA%20-%20NASA%20Kennedy/2011 11 21 - NASA's Kennedy Space Center - Mars Science Laboratory Webcast_BfKWLKWKPIE - transcript (automated).pdf","Transcript Link")</f>
        <v>Transcript Link</v>
      </c>
      <c r="M1300" s="2" t="str">
        <f>HYPERLINK("https://files.afu.se/Downloads/Transcripts/0%20-%20Government/USA%20-%20NASA%20Kennedy/2011 11 21 - NASA's Kennedy Space Center - Mars Science Laboratory Webcast_BfKWLKWKPIE - transcript (automated).pdf","Transcript Link")</f>
        <v>Transcript Link</v>
      </c>
    </row>
    <row r="1301" ht="180" spans="1:13">
      <c r="A1301" s="1" t="s">
        <v>6021</v>
      </c>
      <c r="B1301" s="1" t="s">
        <v>13</v>
      </c>
      <c r="C1301" s="4" t="s">
        <v>6022</v>
      </c>
      <c r="D1301" s="1" t="s">
        <v>6023</v>
      </c>
      <c r="E1301" s="1" t="s">
        <v>6024</v>
      </c>
      <c r="F1301" s="4" t="s">
        <v>17</v>
      </c>
      <c r="G1301" s="1" t="s">
        <v>18</v>
      </c>
      <c r="H1301" s="1" t="s">
        <v>19</v>
      </c>
      <c r="I1301" s="1" t="s">
        <v>20</v>
      </c>
      <c r="J1301" s="1" t="s">
        <v>6025</v>
      </c>
      <c r="K1301" s="1" t="s">
        <v>22</v>
      </c>
      <c r="L1301" s="1" t="str">
        <f>HYPERLINK("https://files.afu.se/Downloads/Transcripts/0%20-%20Government/USA%20-%20NASA%20Kennedy/2011 11 18 - NASA's Kennedy Space Center - Mobile Launcher Moves to Launch Pad_bZBWk6UJxu4 - transcript (automated).pdf","Transcript Link")</f>
        <v>Transcript Link</v>
      </c>
      <c r="M1301" s="2" t="str">
        <f>HYPERLINK("https://files.afu.se/Downloads/Transcripts/0%20-%20Government/USA%20-%20NASA%20Kennedy/2011 11 18 - NASA's Kennedy Space Center - Mobile Launcher Moves to Launch Pad_bZBWk6UJxu4 - transcript (automated).pdf","Transcript Link")</f>
        <v>Transcript Link</v>
      </c>
    </row>
    <row r="1302" ht="180" spans="1:13">
      <c r="A1302" s="1" t="s">
        <v>6026</v>
      </c>
      <c r="B1302" s="1" t="s">
        <v>13</v>
      </c>
      <c r="C1302" s="4" t="s">
        <v>6027</v>
      </c>
      <c r="D1302" s="1" t="s">
        <v>6028</v>
      </c>
      <c r="E1302" s="1" t="s">
        <v>6024</v>
      </c>
      <c r="F1302" s="4" t="s">
        <v>17</v>
      </c>
      <c r="G1302" s="1" t="s">
        <v>18</v>
      </c>
      <c r="H1302" s="1" t="s">
        <v>19</v>
      </c>
      <c r="I1302" s="1" t="s">
        <v>20</v>
      </c>
      <c r="J1302" s="1" t="s">
        <v>6029</v>
      </c>
      <c r="K1302" s="1" t="s">
        <v>22</v>
      </c>
      <c r="L1302" s="1" t="str">
        <f>HYPERLINK("https://files.afu.se/Downloads/Transcripts/0%20-%20Government/USA%20-%20NASA%20Kennedy/2011 11 17 - NASA's Kennedy Space Center - Time-Lapse  Mobile Launcher Moves to Launch Pad_5s1pCS5coX4 - transcript (automated).pdf","Transcript Link")</f>
        <v>Transcript Link</v>
      </c>
      <c r="M1302" s="2" t="str">
        <f>HYPERLINK("https://files.afu.se/Downloads/Transcripts/0%20-%20Government/USA%20-%20NASA%20Kennedy/2011 11 17 - NASA's Kennedy Space Center - Time-Lapse  Mobile Launcher Moves to Launch Pad_5s1pCS5coX4 - transcript (automated).pdf","Transcript Link")</f>
        <v>Transcript Link</v>
      </c>
    </row>
    <row r="1303" ht="180" spans="1:13">
      <c r="A1303" s="1" t="s">
        <v>6030</v>
      </c>
      <c r="B1303" s="1" t="s">
        <v>13</v>
      </c>
      <c r="C1303" s="4" t="s">
        <v>6031</v>
      </c>
      <c r="D1303" s="1" t="s">
        <v>6032</v>
      </c>
      <c r="E1303" s="1" t="s">
        <v>6033</v>
      </c>
      <c r="F1303" s="4" t="s">
        <v>17</v>
      </c>
      <c r="G1303" s="1" t="s">
        <v>18</v>
      </c>
      <c r="H1303" s="1" t="s">
        <v>19</v>
      </c>
      <c r="I1303" s="1" t="s">
        <v>20</v>
      </c>
      <c r="J1303" s="1" t="s">
        <v>6034</v>
      </c>
      <c r="K1303" s="1" t="s">
        <v>22</v>
      </c>
      <c r="L1303" s="1" t="str">
        <f>HYPERLINK("https://files.afu.se/Downloads/Transcripts/0%20-%20Government/USA%20-%20NASA%20Kennedy/2011 11 16 - NASA's Kennedy Space Center - Space Shuttle Flyout  Astrovan_1UwFJML0fUI - transcript (automated).pdf","Transcript Link")</f>
        <v>Transcript Link</v>
      </c>
      <c r="M1303" s="2" t="str">
        <f>HYPERLINK("https://files.afu.se/Downloads/Transcripts/0%20-%20Government/USA%20-%20NASA%20Kennedy/2011 11 16 - NASA's Kennedy Space Center - Space Shuttle Flyout  Astrovan_1UwFJML0fUI - transcript (automated).pdf","Transcript Link")</f>
        <v>Transcript Link</v>
      </c>
    </row>
    <row r="1304" ht="180" spans="1:13">
      <c r="A1304" s="1" t="s">
        <v>6035</v>
      </c>
      <c r="B1304" s="1" t="s">
        <v>13</v>
      </c>
      <c r="C1304" s="4" t="s">
        <v>6036</v>
      </c>
      <c r="D1304" s="1" t="s">
        <v>6037</v>
      </c>
      <c r="E1304" s="1" t="s">
        <v>6038</v>
      </c>
      <c r="F1304" s="4" t="s">
        <v>17</v>
      </c>
      <c r="G1304" s="1" t="s">
        <v>18</v>
      </c>
      <c r="H1304" s="1" t="s">
        <v>19</v>
      </c>
      <c r="I1304" s="1" t="s">
        <v>20</v>
      </c>
      <c r="J1304" s="1" t="s">
        <v>6039</v>
      </c>
      <c r="K1304" s="1" t="s">
        <v>22</v>
      </c>
      <c r="L1304" s="1" t="str">
        <f>HYPERLINK("https://files.afu.se/Downloads/Transcripts/0%20-%20Government/USA%20-%20NASA%20Kennedy/2011 11 15 - NASA's Kennedy Space Center - Space Shuttle Era  Launch Pads_GREwspcOspM - transcript (automated).pdf","Transcript Link")</f>
        <v>Transcript Link</v>
      </c>
      <c r="M1304" s="2" t="str">
        <f>HYPERLINK("https://files.afu.se/Downloads/Transcripts/0%20-%20Government/USA%20-%20NASA%20Kennedy/2011 11 15 - NASA's Kennedy Space Center - Space Shuttle Era  Launch Pads_GREwspcOspM - transcript (automated).pdf","Transcript Link")</f>
        <v>Transcript Link</v>
      </c>
    </row>
    <row r="1305" ht="180" spans="1:13">
      <c r="A1305" s="1" t="s">
        <v>6040</v>
      </c>
      <c r="B1305" s="1" t="s">
        <v>13</v>
      </c>
      <c r="C1305" s="4" t="s">
        <v>6041</v>
      </c>
      <c r="D1305" s="1" t="s">
        <v>6042</v>
      </c>
      <c r="E1305" s="1" t="s">
        <v>5710</v>
      </c>
      <c r="F1305" s="4" t="s">
        <v>17</v>
      </c>
      <c r="G1305" s="1" t="s">
        <v>18</v>
      </c>
      <c r="H1305" s="1" t="s">
        <v>19</v>
      </c>
      <c r="I1305" s="1" t="s">
        <v>20</v>
      </c>
      <c r="J1305" s="1" t="s">
        <v>6043</v>
      </c>
      <c r="K1305" s="1" t="s">
        <v>22</v>
      </c>
      <c r="L1305" s="1" t="str">
        <f>HYPERLINK("https://files.afu.se/Downloads/Transcripts/0%20-%20Government/USA%20-%20NASA%20Kennedy/2011 11 11 - NASA's Kennedy Space Center - Launch Pad 39B Timelapse_Ny4IP7PF1Yw - transcript (automated).pdf","Transcript Link")</f>
        <v>Transcript Link</v>
      </c>
      <c r="M1305" s="2" t="str">
        <f>HYPERLINK("https://files.afu.se/Downloads/Transcripts/0%20-%20Government/USA%20-%20NASA%20Kennedy/2011 11 11 - NASA's Kennedy Space Center - Launch Pad 39B Timelapse_Ny4IP7PF1Yw - transcript (automated).pdf","Transcript Link")</f>
        <v>Transcript Link</v>
      </c>
    </row>
    <row r="1306" ht="180" spans="1:13">
      <c r="A1306" s="1" t="s">
        <v>6044</v>
      </c>
      <c r="B1306" s="1" t="s">
        <v>13</v>
      </c>
      <c r="C1306" s="4" t="s">
        <v>6045</v>
      </c>
      <c r="D1306" s="1" t="s">
        <v>6046</v>
      </c>
      <c r="E1306" s="1" t="s">
        <v>6047</v>
      </c>
      <c r="F1306" s="4" t="s">
        <v>17</v>
      </c>
      <c r="G1306" s="1" t="s">
        <v>18</v>
      </c>
      <c r="H1306" s="1" t="s">
        <v>19</v>
      </c>
      <c r="I1306" s="1" t="s">
        <v>20</v>
      </c>
      <c r="J1306" s="1" t="s">
        <v>6048</v>
      </c>
      <c r="K1306" s="1" t="s">
        <v>22</v>
      </c>
      <c r="L1306" s="1" t="str">
        <f>HYPERLINK("https://files.afu.se/Downloads/Transcripts/0%20-%20Government/USA%20-%20NASA%20Kennedy/2011 11 09 - NASA's Kennedy Space Center - Space Launch System   Orion Test Flight Concepts_4e-bqzaZh-o - transcript (automated).pdf","Transcript Link")</f>
        <v>Transcript Link</v>
      </c>
      <c r="M1306" s="2" t="str">
        <f>HYPERLINK("https://files.afu.se/Downloads/Transcripts/0%20-%20Government/USA%20-%20NASA%20Kennedy/2011 11 09 - NASA's Kennedy Space Center - Space Launch System   Orion Test Flight Concepts_4e-bqzaZh-o - transcript (automated).pdf","Transcript Link")</f>
        <v>Transcript Link</v>
      </c>
    </row>
    <row r="1307" ht="225" spans="1:13">
      <c r="A1307" s="1" t="s">
        <v>6049</v>
      </c>
      <c r="B1307" s="1" t="s">
        <v>13</v>
      </c>
      <c r="C1307" s="4" t="s">
        <v>6050</v>
      </c>
      <c r="D1307" s="1" t="s">
        <v>6051</v>
      </c>
      <c r="E1307" s="1" t="s">
        <v>6052</v>
      </c>
      <c r="F1307" s="4" t="s">
        <v>17</v>
      </c>
      <c r="G1307" s="1" t="s">
        <v>18</v>
      </c>
      <c r="H1307" s="1" t="s">
        <v>19</v>
      </c>
      <c r="I1307" s="1" t="s">
        <v>20</v>
      </c>
      <c r="J1307" s="1" t="s">
        <v>6053</v>
      </c>
      <c r="K1307" s="1" t="s">
        <v>22</v>
      </c>
      <c r="L1307" s="1" t="str">
        <f>HYPERLINK("https://files.afu.se/Downloads/Transcripts/0%20-%20Government/USA%20-%20NASA%20Kennedy/2011 11 08 - NASA's Kennedy Space Center - Commercial Crew Program Movie Trailer_KZZ6j4JZ6_0 - transcript (automated).pdf","Transcript Link")</f>
        <v>Transcript Link</v>
      </c>
      <c r="M1307" s="2" t="str">
        <f>HYPERLINK("https://files.afu.se/Downloads/Transcripts/0%20-%20Government/USA%20-%20NASA%20Kennedy/2011 11 08 - NASA's Kennedy Space Center - Commercial Crew Program Movie Trailer_KZZ6j4JZ6_0 - transcript (automated).pdf","Transcript Link")</f>
        <v>Transcript Link</v>
      </c>
    </row>
    <row r="1308" ht="210" spans="1:13">
      <c r="A1308" s="1" t="s">
        <v>6054</v>
      </c>
      <c r="B1308" s="1" t="s">
        <v>13</v>
      </c>
      <c r="C1308" s="4" t="s">
        <v>6055</v>
      </c>
      <c r="D1308" s="1" t="s">
        <v>6056</v>
      </c>
      <c r="E1308" s="1" t="s">
        <v>6057</v>
      </c>
      <c r="F1308" s="4" t="s">
        <v>17</v>
      </c>
      <c r="G1308" s="1" t="s">
        <v>18</v>
      </c>
      <c r="H1308" s="1" t="s">
        <v>19</v>
      </c>
      <c r="I1308" s="1" t="s">
        <v>20</v>
      </c>
      <c r="J1308" s="1" t="s">
        <v>6058</v>
      </c>
      <c r="K1308" s="1" t="s">
        <v>22</v>
      </c>
      <c r="L1308" s="1" t="str">
        <f>HYPERLINK("https://files.afu.se/Downloads/Transcripts/0%20-%20Government/USA%20-%20NASA%20Kennedy/2011 11 03 - NASA's Kennedy Space Center - Mars Science Laboratory Moves to Pad 41_mFnZParBQcg - transcript (automated).pdf","Transcript Link")</f>
        <v>Transcript Link</v>
      </c>
      <c r="M1308" s="2" t="str">
        <f>HYPERLINK("https://files.afu.se/Downloads/Transcripts/0%20-%20Government/USA%20-%20NASA%20Kennedy/2011 11 03 - NASA's Kennedy Space Center - Mars Science Laboratory Moves to Pad 41_mFnZParBQcg - transcript (automated).pdf","Transcript Link")</f>
        <v>Transcript Link</v>
      </c>
    </row>
    <row r="1309" ht="360" spans="1:13">
      <c r="A1309" s="1" t="s">
        <v>6059</v>
      </c>
      <c r="B1309" s="1" t="s">
        <v>13</v>
      </c>
      <c r="C1309" s="4" t="s">
        <v>6060</v>
      </c>
      <c r="D1309" s="1" t="s">
        <v>6061</v>
      </c>
      <c r="E1309" s="1" t="s">
        <v>6062</v>
      </c>
      <c r="F1309" s="4" t="s">
        <v>17</v>
      </c>
      <c r="G1309" s="1" t="s">
        <v>18</v>
      </c>
      <c r="H1309" s="1" t="s">
        <v>19</v>
      </c>
      <c r="I1309" s="1" t="s">
        <v>20</v>
      </c>
      <c r="J1309" s="1" t="s">
        <v>6063</v>
      </c>
      <c r="K1309" s="1" t="s">
        <v>22</v>
      </c>
      <c r="L1309" s="1" t="str">
        <f>HYPERLINK("https://files.afu.se/Downloads/Transcripts/0%20-%20Government/USA%20-%20NASA%20Kennedy/2011 11 02 - NASA's Kennedy Space Center - Commercial Crew Program Teaser - The Future is Coming_pXxE-7hmcE0 - transcript (automated).pdf","Transcript Link")</f>
        <v>Transcript Link</v>
      </c>
      <c r="M1309" s="2" t="str">
        <f>HYPERLINK("https://files.afu.se/Downloads/Transcripts/0%20-%20Government/USA%20-%20NASA%20Kennedy/2011 11 02 - NASA's Kennedy Space Center - Commercial Crew Program Teaser - The Future is Coming_pXxE-7hmcE0 - transcript (automated).pdf","Transcript Link")</f>
        <v>Transcript Link</v>
      </c>
    </row>
    <row r="1310" ht="180" spans="1:13">
      <c r="A1310" s="1" t="s">
        <v>6064</v>
      </c>
      <c r="B1310" s="1" t="s">
        <v>13</v>
      </c>
      <c r="C1310" s="4" t="s">
        <v>6065</v>
      </c>
      <c r="D1310" s="1" t="s">
        <v>6066</v>
      </c>
      <c r="E1310" s="1" t="s">
        <v>5710</v>
      </c>
      <c r="F1310" s="4" t="s">
        <v>17</v>
      </c>
      <c r="G1310" s="1" t="s">
        <v>18</v>
      </c>
      <c r="H1310" s="1" t="s">
        <v>19</v>
      </c>
      <c r="I1310" s="1" t="s">
        <v>20</v>
      </c>
      <c r="J1310" s="1" t="s">
        <v>6067</v>
      </c>
      <c r="K1310" s="1" t="s">
        <v>22</v>
      </c>
      <c r="L1310" s="1" t="str">
        <f>HYPERLINK("https://files.afu.se/Downloads/Transcripts/0%20-%20Government/USA%20-%20NASA%20Kennedy/2011 10 28 - NASA's Kennedy Space Center - NPP Interview  Garrett Skrobot_Z7Wvh9OOeng - transcript (automated).pdf","Transcript Link")</f>
        <v>Transcript Link</v>
      </c>
      <c r="M1310" s="2" t="str">
        <f>HYPERLINK("https://files.afu.se/Downloads/Transcripts/0%20-%20Government/USA%20-%20NASA%20Kennedy/2011 10 28 - NASA's Kennedy Space Center - NPP Interview  Garrett Skrobot_Z7Wvh9OOeng - transcript (automated).pdf","Transcript Link")</f>
        <v>Transcript Link</v>
      </c>
    </row>
    <row r="1311" ht="180" spans="1:13">
      <c r="A1311" s="1" t="s">
        <v>6064</v>
      </c>
      <c r="B1311" s="1" t="s">
        <v>13</v>
      </c>
      <c r="C1311" s="4" t="s">
        <v>6068</v>
      </c>
      <c r="D1311" s="1" t="s">
        <v>6069</v>
      </c>
      <c r="E1311" s="1" t="s">
        <v>5710</v>
      </c>
      <c r="F1311" s="4" t="s">
        <v>17</v>
      </c>
      <c r="G1311" s="1" t="s">
        <v>18</v>
      </c>
      <c r="H1311" s="1" t="s">
        <v>19</v>
      </c>
      <c r="I1311" s="1" t="s">
        <v>20</v>
      </c>
      <c r="J1311" s="1" t="s">
        <v>6070</v>
      </c>
      <c r="K1311" s="1" t="s">
        <v>22</v>
      </c>
      <c r="L1311" s="1" t="str">
        <f>HYPERLINK("https://files.afu.se/Downloads/Transcripts/0%20-%20Government/USA%20-%20NASA%20Kennedy/2011 10 28 - NASA's Kennedy Space Center - NPP Post-Launch Interview with Tim Dunn_UA1bi_-kHjw - transcript (automated).pdf","Transcript Link")</f>
        <v>Transcript Link</v>
      </c>
      <c r="M1311" s="2" t="str">
        <f>HYPERLINK("https://files.afu.se/Downloads/Transcripts/0%20-%20Government/USA%20-%20NASA%20Kennedy/2011 10 28 - NASA's Kennedy Space Center - NPP Post-Launch Interview with Tim Dunn_UA1bi_-kHjw - transcript (automated).pdf","Transcript Link")</f>
        <v>Transcript Link</v>
      </c>
    </row>
    <row r="1312" ht="180" spans="1:13">
      <c r="A1312" s="1" t="s">
        <v>6064</v>
      </c>
      <c r="B1312" s="1" t="s">
        <v>13</v>
      </c>
      <c r="C1312" s="4" t="s">
        <v>6071</v>
      </c>
      <c r="D1312" s="1" t="s">
        <v>6072</v>
      </c>
      <c r="E1312" s="1" t="s">
        <v>5710</v>
      </c>
      <c r="F1312" s="4" t="s">
        <v>17</v>
      </c>
      <c r="G1312" s="1" t="s">
        <v>18</v>
      </c>
      <c r="H1312" s="1" t="s">
        <v>19</v>
      </c>
      <c r="I1312" s="1" t="s">
        <v>20</v>
      </c>
      <c r="J1312" s="1" t="s">
        <v>6073</v>
      </c>
      <c r="K1312" s="1" t="s">
        <v>22</v>
      </c>
      <c r="L1312" s="1" t="str">
        <f>HYPERLINK("https://files.afu.se/Downloads/Transcripts/0%20-%20Government/USA%20-%20NASA%20Kennedy/2011 10 28 - NASA's Kennedy Space Center - NPP Spacecraft Separation_aRaO9av02GQ - transcript (automated).pdf","Transcript Link")</f>
        <v>Transcript Link</v>
      </c>
      <c r="M1312" s="2" t="str">
        <f>HYPERLINK("https://files.afu.se/Downloads/Transcripts/0%20-%20Government/USA%20-%20NASA%20Kennedy/2011 10 28 - NASA's Kennedy Space Center - NPP Spacecraft Separation_aRaO9av02GQ - transcript (automated).pdf","Transcript Link")</f>
        <v>Transcript Link</v>
      </c>
    </row>
    <row r="1313" ht="195" spans="1:13">
      <c r="A1313" s="1" t="s">
        <v>6064</v>
      </c>
      <c r="B1313" s="1" t="s">
        <v>13</v>
      </c>
      <c r="C1313" s="4" t="s">
        <v>6074</v>
      </c>
      <c r="D1313" s="1" t="s">
        <v>6075</v>
      </c>
      <c r="E1313" s="1" t="s">
        <v>6076</v>
      </c>
      <c r="F1313" s="4" t="s">
        <v>17</v>
      </c>
      <c r="G1313" s="1" t="s">
        <v>18</v>
      </c>
      <c r="H1313" s="1" t="s">
        <v>19</v>
      </c>
      <c r="I1313" s="1" t="s">
        <v>20</v>
      </c>
      <c r="J1313" s="1" t="s">
        <v>6077</v>
      </c>
      <c r="K1313" s="1" t="s">
        <v>22</v>
      </c>
      <c r="L1313" s="1" t="str">
        <f>HYPERLINK("https://files.afu.se/Downloads/Transcripts/0%20-%20Government/USA%20-%20NASA%20Kennedy/2011 10 28 - NASA's Kennedy Space Center - NPP Launch_cg9Z0-WEQIQ - transcript (automated).pdf","Transcript Link")</f>
        <v>Transcript Link</v>
      </c>
      <c r="M1313" s="2" t="str">
        <f>HYPERLINK("https://files.afu.se/Downloads/Transcripts/0%20-%20Government/USA%20-%20NASA%20Kennedy/2011 10 28 - NASA's Kennedy Space Center - NPP Launch_cg9Z0-WEQIQ - transcript (automated).pdf","Transcript Link")</f>
        <v>Transcript Link</v>
      </c>
    </row>
    <row r="1314" ht="180" spans="1:13">
      <c r="A1314" s="1" t="s">
        <v>6064</v>
      </c>
      <c r="B1314" s="1" t="s">
        <v>13</v>
      </c>
      <c r="C1314" s="4" t="s">
        <v>6078</v>
      </c>
      <c r="D1314" s="1" t="s">
        <v>6079</v>
      </c>
      <c r="E1314" s="1" t="s">
        <v>5710</v>
      </c>
      <c r="F1314" s="4" t="s">
        <v>17</v>
      </c>
      <c r="G1314" s="1" t="s">
        <v>18</v>
      </c>
      <c r="H1314" s="1" t="s">
        <v>19</v>
      </c>
      <c r="I1314" s="1" t="s">
        <v>20</v>
      </c>
      <c r="J1314" s="1" t="s">
        <v>6080</v>
      </c>
      <c r="K1314" s="1" t="s">
        <v>22</v>
      </c>
      <c r="L1314" s="1" t="str">
        <f>HYPERLINK("https://files.afu.se/Downloads/Transcripts/0%20-%20Government/USA%20-%20NASA%20Kennedy/2011 10 28 - NASA's Kennedy Space Center - NPP Launch Poll_4vU40yJ2V4Q - transcript (automated).pdf","Transcript Link")</f>
        <v>Transcript Link</v>
      </c>
      <c r="M1314" s="2" t="str">
        <f>HYPERLINK("https://files.afu.se/Downloads/Transcripts/0%20-%20Government/USA%20-%20NASA%20Kennedy/2011 10 28 - NASA's Kennedy Space Center - NPP Launch Poll_4vU40yJ2V4Q - transcript (automated).pdf","Transcript Link")</f>
        <v>Transcript Link</v>
      </c>
    </row>
    <row r="1315" ht="180" spans="1:13">
      <c r="A1315" s="1" t="s">
        <v>6064</v>
      </c>
      <c r="B1315" s="1" t="s">
        <v>13</v>
      </c>
      <c r="C1315" s="4" t="s">
        <v>6081</v>
      </c>
      <c r="D1315" s="1" t="s">
        <v>6082</v>
      </c>
      <c r="E1315" s="1" t="s">
        <v>5710</v>
      </c>
      <c r="F1315" s="4" t="s">
        <v>17</v>
      </c>
      <c r="G1315" s="1" t="s">
        <v>18</v>
      </c>
      <c r="H1315" s="1" t="s">
        <v>19</v>
      </c>
      <c r="I1315" s="1" t="s">
        <v>20</v>
      </c>
      <c r="J1315" s="1" t="s">
        <v>6083</v>
      </c>
      <c r="K1315" s="1" t="s">
        <v>22</v>
      </c>
      <c r="L1315" s="1" t="str">
        <f>HYPERLINK("https://files.afu.se/Downloads/Transcripts/0%20-%20Government/USA%20-%20NASA%20Kennedy/2011 10 28 - NASA's Kennedy Space Center - NPP Vehicle Flow With Bruce Reid_DmqDP-3Kkck - transcript (automated).pdf","Transcript Link")</f>
        <v>Transcript Link</v>
      </c>
      <c r="M1315" s="2" t="str">
        <f>HYPERLINK("https://files.afu.se/Downloads/Transcripts/0%20-%20Government/USA%20-%20NASA%20Kennedy/2011 10 28 - NASA's Kennedy Space Center - NPP Vehicle Flow With Bruce Reid_DmqDP-3Kkck - transcript (automated).pdf","Transcript Link")</f>
        <v>Transcript Link</v>
      </c>
    </row>
    <row r="1316" ht="180" spans="1:13">
      <c r="A1316" s="1" t="s">
        <v>6064</v>
      </c>
      <c r="B1316" s="1" t="s">
        <v>13</v>
      </c>
      <c r="C1316" s="4" t="s">
        <v>6084</v>
      </c>
      <c r="D1316" s="1" t="s">
        <v>6085</v>
      </c>
      <c r="E1316" s="1" t="s">
        <v>6086</v>
      </c>
      <c r="F1316" s="4" t="s">
        <v>17</v>
      </c>
      <c r="G1316" s="1" t="s">
        <v>18</v>
      </c>
      <c r="H1316" s="1" t="s">
        <v>19</v>
      </c>
      <c r="I1316" s="1" t="s">
        <v>20</v>
      </c>
      <c r="J1316" s="1" t="s">
        <v>6087</v>
      </c>
      <c r="K1316" s="1" t="s">
        <v>22</v>
      </c>
      <c r="L1316" s="1" t="str">
        <f>HYPERLINK("https://files.afu.se/Downloads/Transcripts/0%20-%20Government/USA%20-%20NASA%20Kennedy/2011 10 28 - NASA's Kennedy Space Center - NPP Launch  Intro to Coverage_i6qXl6FF3hg - transcript (automated).pdf","Transcript Link")</f>
        <v>Transcript Link</v>
      </c>
      <c r="M1316" s="2" t="str">
        <f>HYPERLINK("https://files.afu.se/Downloads/Transcripts/0%20-%20Government/USA%20-%20NASA%20Kennedy/2011 10 28 - NASA's Kennedy Space Center - NPP Launch  Intro to Coverage_i6qXl6FF3hg - transcript (automated).pdf","Transcript Link")</f>
        <v>Transcript Link</v>
      </c>
    </row>
    <row r="1317" ht="180" spans="1:13">
      <c r="A1317" s="1" t="s">
        <v>6088</v>
      </c>
      <c r="B1317" s="1" t="s">
        <v>13</v>
      </c>
      <c r="C1317" s="4" t="s">
        <v>6089</v>
      </c>
      <c r="D1317" s="1" t="s">
        <v>6090</v>
      </c>
      <c r="E1317" s="1" t="s">
        <v>6091</v>
      </c>
      <c r="F1317" s="4" t="s">
        <v>17</v>
      </c>
      <c r="G1317" s="1" t="s">
        <v>18</v>
      </c>
      <c r="H1317" s="1" t="s">
        <v>19</v>
      </c>
      <c r="I1317" s="1" t="s">
        <v>20</v>
      </c>
      <c r="J1317" s="1" t="s">
        <v>6092</v>
      </c>
      <c r="K1317" s="1" t="s">
        <v>22</v>
      </c>
      <c r="L1317" s="1" t="str">
        <f>HYPERLINK("https://files.afu.se/Downloads/Transcripts/0%20-%20Government/USA%20-%20NASA%20Kennedy/2011 10 25 - NASA's Kennedy Space Center - NPP Mission Overview_RVnz1JVaNYk - transcript (automated).pdf","Transcript Link")</f>
        <v>Transcript Link</v>
      </c>
      <c r="M1317" s="2" t="str">
        <f>HYPERLINK("https://files.afu.se/Downloads/Transcripts/0%20-%20Government/USA%20-%20NASA%20Kennedy/2011 10 25 - NASA's Kennedy Space Center - NPP Mission Overview_RVnz1JVaNYk - transcript (automated).pdf","Transcript Link")</f>
        <v>Transcript Link</v>
      </c>
    </row>
    <row r="1318" ht="180" spans="1:13">
      <c r="A1318" s="1" t="s">
        <v>6093</v>
      </c>
      <c r="B1318" s="1" t="s">
        <v>13</v>
      </c>
      <c r="C1318" s="4" t="s">
        <v>6094</v>
      </c>
      <c r="D1318" s="1" t="s">
        <v>6095</v>
      </c>
      <c r="E1318" s="1" t="s">
        <v>6096</v>
      </c>
      <c r="F1318" s="4" t="s">
        <v>17</v>
      </c>
      <c r="G1318" s="1" t="s">
        <v>18</v>
      </c>
      <c r="H1318" s="1" t="s">
        <v>19</v>
      </c>
      <c r="I1318" s="1" t="s">
        <v>20</v>
      </c>
      <c r="J1318" s="1" t="s">
        <v>6097</v>
      </c>
      <c r="K1318" s="1" t="s">
        <v>22</v>
      </c>
      <c r="L1318" s="1" t="str">
        <f>HYPERLINK("https://files.afu.se/Downloads/Transcripts/0%20-%20Government/USA%20-%20NASA%20Kennedy/2011 10 24 - NASA's Kennedy Space Center - In Their Own Words  Astronaut Dan Tani_pOernXaSfx0 - transcript (automated).pdf","Transcript Link")</f>
        <v>Transcript Link</v>
      </c>
      <c r="M1318" s="2" t="str">
        <f>HYPERLINK("https://files.afu.se/Downloads/Transcripts/0%20-%20Government/USA%20-%20NASA%20Kennedy/2011 10 24 - NASA's Kennedy Space Center - In Their Own Words  Astronaut Dan Tani_pOernXaSfx0 - transcript (automated).pdf","Transcript Link")</f>
        <v>Transcript Link</v>
      </c>
    </row>
    <row r="1319" ht="180" spans="1:13">
      <c r="A1319" s="1" t="s">
        <v>6098</v>
      </c>
      <c r="B1319" s="1" t="s">
        <v>13</v>
      </c>
      <c r="C1319" s="4" t="s">
        <v>6099</v>
      </c>
      <c r="D1319" s="1" t="s">
        <v>6100</v>
      </c>
      <c r="E1319" s="1" t="s">
        <v>6101</v>
      </c>
      <c r="F1319" s="4" t="s">
        <v>17</v>
      </c>
      <c r="G1319" s="1" t="s">
        <v>18</v>
      </c>
      <c r="H1319" s="1" t="s">
        <v>19</v>
      </c>
      <c r="I1319" s="1" t="s">
        <v>20</v>
      </c>
      <c r="J1319" s="1" t="s">
        <v>6102</v>
      </c>
      <c r="K1319" s="1" t="s">
        <v>22</v>
      </c>
      <c r="L1319" s="1" t="str">
        <f>HYPERLINK("https://files.afu.se/Downloads/Transcripts/0%20-%20Government/USA%20-%20NASA%20Kennedy/2011 10 21 - NASA's Kennedy Space Center - In Their Own Words with Charlie Bolden_3s8DNLhxakA - transcript (automated).pdf","Transcript Link")</f>
        <v>Transcript Link</v>
      </c>
      <c r="M1319" s="2" t="str">
        <f>HYPERLINK("https://files.afu.se/Downloads/Transcripts/0%20-%20Government/USA%20-%20NASA%20Kennedy/2011 10 21 - NASA's Kennedy Space Center - In Their Own Words with Charlie Bolden_3s8DNLhxakA - transcript (automated).pdf","Transcript Link")</f>
        <v>Transcript Link</v>
      </c>
    </row>
    <row r="1320" ht="180" spans="1:13">
      <c r="A1320" s="1" t="s">
        <v>6103</v>
      </c>
      <c r="B1320" s="1" t="s">
        <v>13</v>
      </c>
      <c r="C1320" s="4" t="s">
        <v>6104</v>
      </c>
      <c r="D1320" s="1" t="s">
        <v>6105</v>
      </c>
      <c r="E1320" s="1" t="s">
        <v>6106</v>
      </c>
      <c r="F1320" s="4" t="s">
        <v>17</v>
      </c>
      <c r="G1320" s="1" t="s">
        <v>18</v>
      </c>
      <c r="H1320" s="1" t="s">
        <v>19</v>
      </c>
      <c r="I1320" s="1" t="s">
        <v>20</v>
      </c>
      <c r="J1320" s="1" t="s">
        <v>6107</v>
      </c>
      <c r="K1320" s="1" t="s">
        <v>22</v>
      </c>
      <c r="L1320" s="1" t="str">
        <f>HYPERLINK("https://files.afu.se/Downloads/Transcripts/0%20-%20Government/USA%20-%20NASA%20Kennedy/2011 09 23 - NASA's Kennedy Space Center - Space Shuttle Era  Main Engines_cn4MVoIEJvU - transcript (automated).pdf","Transcript Link")</f>
        <v>Transcript Link</v>
      </c>
      <c r="M1320" s="2" t="str">
        <f>HYPERLINK("https://files.afu.se/Downloads/Transcripts/0%20-%20Government/USA%20-%20NASA%20Kennedy/2011 09 23 - NASA's Kennedy Space Center - Space Shuttle Era  Main Engines_cn4MVoIEJvU - transcript (automated).pdf","Transcript Link")</f>
        <v>Transcript Link</v>
      </c>
    </row>
    <row r="1321" ht="180" spans="1:13">
      <c r="A1321" s="1" t="s">
        <v>6108</v>
      </c>
      <c r="B1321" s="1" t="s">
        <v>13</v>
      </c>
      <c r="C1321" s="4" t="s">
        <v>6109</v>
      </c>
      <c r="D1321" s="1" t="s">
        <v>6110</v>
      </c>
      <c r="E1321" s="1" t="s">
        <v>5710</v>
      </c>
      <c r="F1321" s="4" t="s">
        <v>17</v>
      </c>
      <c r="G1321" s="1" t="s">
        <v>18</v>
      </c>
      <c r="H1321" s="1" t="s">
        <v>19</v>
      </c>
      <c r="I1321" s="1" t="s">
        <v>20</v>
      </c>
      <c r="J1321" s="1" t="s">
        <v>6111</v>
      </c>
      <c r="K1321" s="1" t="s">
        <v>22</v>
      </c>
      <c r="L1321" s="1" t="str">
        <f>HYPERLINK("https://files.afu.se/Downloads/Transcripts/0%20-%20Government/USA%20-%20NASA%20Kennedy/2011 09 15 - NASA's Kennedy Space Center - Kennedy Space Center  Partnering for the Future_quISTvkwo-s - transcript (automated).pdf","Transcript Link")</f>
        <v>Transcript Link</v>
      </c>
      <c r="M1321" s="2" t="str">
        <f>HYPERLINK("https://files.afu.se/Downloads/Transcripts/0%20-%20Government/USA%20-%20NASA%20Kennedy/2011 09 15 - NASA's Kennedy Space Center - Kennedy Space Center  Partnering for the Future_quISTvkwo-s - transcript (automated).pdf","Transcript Link")</f>
        <v>Transcript Link</v>
      </c>
    </row>
    <row r="1322" ht="180" spans="1:13">
      <c r="A1322" s="1" t="s">
        <v>6112</v>
      </c>
      <c r="B1322" s="1" t="s">
        <v>13</v>
      </c>
      <c r="C1322" s="4" t="s">
        <v>6113</v>
      </c>
      <c r="D1322" s="1" t="s">
        <v>6114</v>
      </c>
      <c r="E1322" s="1" t="s">
        <v>6115</v>
      </c>
      <c r="F1322" s="4" t="s">
        <v>17</v>
      </c>
      <c r="G1322" s="1" t="s">
        <v>18</v>
      </c>
      <c r="H1322" s="1" t="s">
        <v>19</v>
      </c>
      <c r="I1322" s="1" t="s">
        <v>20</v>
      </c>
      <c r="J1322" s="1" t="s">
        <v>6116</v>
      </c>
      <c r="K1322" s="1" t="s">
        <v>22</v>
      </c>
      <c r="L1322" s="1" t="str">
        <f>HYPERLINK("https://files.afu.se/Downloads/Transcripts/0%20-%20Government/USA%20-%20NASA%20Kennedy/2011 09 10 - NASA's Kennedy Space Center - Post Launch Interview WIth Launch Director Tim Dunn_xQ1ToQxCYno - transcript (automated).pdf","Transcript Link")</f>
        <v>Transcript Link</v>
      </c>
      <c r="M1322" s="2" t="str">
        <f>HYPERLINK("https://files.afu.se/Downloads/Transcripts/0%20-%20Government/USA%20-%20NASA%20Kennedy/2011 09 10 - NASA's Kennedy Space Center - Post Launch Interview WIth Launch Director Tim Dunn_xQ1ToQxCYno - transcript (automated).pdf","Transcript Link")</f>
        <v>Transcript Link</v>
      </c>
    </row>
    <row r="1323" ht="180" spans="1:13">
      <c r="A1323" s="1" t="s">
        <v>6112</v>
      </c>
      <c r="B1323" s="1" t="s">
        <v>13</v>
      </c>
      <c r="C1323" s="4" t="s">
        <v>6117</v>
      </c>
      <c r="D1323" s="1" t="s">
        <v>6118</v>
      </c>
      <c r="E1323" s="1" t="s">
        <v>6119</v>
      </c>
      <c r="F1323" s="4" t="s">
        <v>17</v>
      </c>
      <c r="G1323" s="1" t="s">
        <v>18</v>
      </c>
      <c r="H1323" s="1" t="s">
        <v>19</v>
      </c>
      <c r="I1323" s="1" t="s">
        <v>20</v>
      </c>
      <c r="J1323" s="1" t="s">
        <v>6120</v>
      </c>
      <c r="K1323" s="1" t="s">
        <v>22</v>
      </c>
      <c r="L1323" s="1" t="str">
        <f>HYPERLINK("https://files.afu.se/Downloads/Transcripts/0%20-%20Government/USA%20-%20NASA%20Kennedy/2011 09 10 - NASA's Kennedy Space Center - GRAIL Spacecraft Separation_pKxiuk0MhA4 - transcript (automated).pdf","Transcript Link")</f>
        <v>Transcript Link</v>
      </c>
      <c r="M1323" s="2" t="str">
        <f>HYPERLINK("https://files.afu.se/Downloads/Transcripts/0%20-%20Government/USA%20-%20NASA%20Kennedy/2011 09 10 - NASA's Kennedy Space Center - GRAIL Spacecraft Separation_pKxiuk0MhA4 - transcript (automated).pdf","Transcript Link")</f>
        <v>Transcript Link</v>
      </c>
    </row>
    <row r="1324" ht="180" spans="1:13">
      <c r="A1324" s="1" t="s">
        <v>6112</v>
      </c>
      <c r="B1324" s="1" t="s">
        <v>13</v>
      </c>
      <c r="C1324" s="4" t="s">
        <v>6121</v>
      </c>
      <c r="D1324" s="1" t="s">
        <v>6122</v>
      </c>
      <c r="E1324" s="1" t="s">
        <v>6123</v>
      </c>
      <c r="F1324" s="4" t="s">
        <v>17</v>
      </c>
      <c r="G1324" s="1" t="s">
        <v>18</v>
      </c>
      <c r="H1324" s="1" t="s">
        <v>19</v>
      </c>
      <c r="I1324" s="1" t="s">
        <v>20</v>
      </c>
      <c r="J1324" s="1" t="s">
        <v>6124</v>
      </c>
      <c r="K1324" s="1" t="s">
        <v>22</v>
      </c>
      <c r="L1324" s="1" t="str">
        <f>HYPERLINK("https://files.afu.se/Downloads/Transcripts/0%20-%20Government/USA%20-%20NASA%20Kennedy/2011 09 10 - NASA's Kennedy Space Center - GRAIL Launch_PKd4hK9AU9w - transcript (automated).pdf","Transcript Link")</f>
        <v>Transcript Link</v>
      </c>
      <c r="M1324" s="2" t="str">
        <f>HYPERLINK("https://files.afu.se/Downloads/Transcripts/0%20-%20Government/USA%20-%20NASA%20Kennedy/2011 09 10 - NASA's Kennedy Space Center - GRAIL Launch_PKd4hK9AU9w - transcript (automated).pdf","Transcript Link")</f>
        <v>Transcript Link</v>
      </c>
    </row>
    <row r="1325" ht="180" spans="1:13">
      <c r="A1325" s="1" t="s">
        <v>6112</v>
      </c>
      <c r="B1325" s="1" t="s">
        <v>13</v>
      </c>
      <c r="C1325" s="4" t="s">
        <v>6125</v>
      </c>
      <c r="D1325" s="1" t="s">
        <v>6126</v>
      </c>
      <c r="E1325" s="1" t="s">
        <v>6127</v>
      </c>
      <c r="F1325" s="4" t="s">
        <v>17</v>
      </c>
      <c r="G1325" s="1" t="s">
        <v>18</v>
      </c>
      <c r="H1325" s="1" t="s">
        <v>19</v>
      </c>
      <c r="I1325" s="1" t="s">
        <v>20</v>
      </c>
      <c r="J1325" s="1" t="s">
        <v>6128</v>
      </c>
      <c r="K1325" s="1" t="s">
        <v>22</v>
      </c>
      <c r="L1325" s="1" t="str">
        <f>HYPERLINK("https://files.afu.se/Downloads/Transcripts/0%20-%20Government/USA%20-%20NASA%20Kennedy/2011 09 10 - NASA's Kennedy Space Center - Grail  Go  for Launch Poll_O-JHL44gkmM - transcript (automated).pdf","Transcript Link")</f>
        <v>Transcript Link</v>
      </c>
      <c r="M1325" s="2" t="str">
        <f>HYPERLINK("https://files.afu.se/Downloads/Transcripts/0%20-%20Government/USA%20-%20NASA%20Kennedy/2011 09 10 - NASA's Kennedy Space Center - Grail  Go  for Launch Poll_O-JHL44gkmM - transcript (automated).pdf","Transcript Link")</f>
        <v>Transcript Link</v>
      </c>
    </row>
    <row r="1326" ht="180" spans="1:13">
      <c r="A1326" s="1" t="s">
        <v>6112</v>
      </c>
      <c r="B1326" s="1" t="s">
        <v>13</v>
      </c>
      <c r="C1326" s="4" t="s">
        <v>6129</v>
      </c>
      <c r="D1326" s="1" t="s">
        <v>6130</v>
      </c>
      <c r="E1326" s="1" t="s">
        <v>6131</v>
      </c>
      <c r="F1326" s="4" t="s">
        <v>17</v>
      </c>
      <c r="G1326" s="1" t="s">
        <v>18</v>
      </c>
      <c r="H1326" s="1" t="s">
        <v>19</v>
      </c>
      <c r="I1326" s="1" t="s">
        <v>20</v>
      </c>
      <c r="J1326" s="1" t="s">
        <v>6132</v>
      </c>
      <c r="K1326" s="1" t="s">
        <v>22</v>
      </c>
      <c r="L1326" s="1" t="str">
        <f>HYPERLINK("https://files.afu.se/Downloads/Transcripts/0%20-%20Government/USA%20-%20NASA%20Kennedy/2011 09 10 - NASA's Kennedy Space Center - GRAIL Launch Coverage Begins_Y90bXUorNZQ - transcript (automated).pdf","Transcript Link")</f>
        <v>Transcript Link</v>
      </c>
      <c r="M1326" s="2" t="str">
        <f>HYPERLINK("https://files.afu.se/Downloads/Transcripts/0%20-%20Government/USA%20-%20NASA%20Kennedy/2011 09 10 - NASA's Kennedy Space Center - GRAIL Launch Coverage Begins_Y90bXUorNZQ - transcript (automated).pdf","Transcript Link")</f>
        <v>Transcript Link</v>
      </c>
    </row>
    <row r="1327" ht="180" spans="1:13">
      <c r="A1327" s="1" t="s">
        <v>6133</v>
      </c>
      <c r="B1327" s="1" t="s">
        <v>13</v>
      </c>
      <c r="C1327" s="4" t="s">
        <v>6134</v>
      </c>
      <c r="D1327" s="1" t="s">
        <v>6042</v>
      </c>
      <c r="E1327" s="1" t="s">
        <v>5710</v>
      </c>
      <c r="F1327" s="4" t="s">
        <v>17</v>
      </c>
      <c r="G1327" s="1" t="s">
        <v>18</v>
      </c>
      <c r="H1327" s="1" t="s">
        <v>19</v>
      </c>
      <c r="I1327" s="1" t="s">
        <v>20</v>
      </c>
      <c r="J1327" s="1" t="s">
        <v>6135</v>
      </c>
      <c r="K1327" s="1" t="s">
        <v>22</v>
      </c>
      <c r="L1327" s="1" t="str">
        <f>HYPERLINK("https://files.afu.se/Downloads/Transcripts/0%20-%20Government/USA%20-%20NASA%20Kennedy/2011 09 09 - NASA's Kennedy Space Center - Launch Pad 39B Timelapse_AstbjxYNwqM - transcript (automated).pdf","Transcript Link")</f>
        <v>Transcript Link</v>
      </c>
      <c r="M1327" s="2" t="str">
        <f>HYPERLINK("https://files.afu.se/Downloads/Transcripts/0%20-%20Government/USA%20-%20NASA%20Kennedy/2011 09 09 - NASA's Kennedy Space Center - Launch Pad 39B Timelapse_AstbjxYNwqM - transcript (automated).pdf","Transcript Link")</f>
        <v>Transcript Link</v>
      </c>
    </row>
    <row r="1328" ht="195" spans="1:13">
      <c r="A1328" s="1" t="s">
        <v>6136</v>
      </c>
      <c r="B1328" s="1" t="s">
        <v>13</v>
      </c>
      <c r="C1328" s="4" t="s">
        <v>6137</v>
      </c>
      <c r="D1328" s="1" t="s">
        <v>6138</v>
      </c>
      <c r="E1328" s="1" t="s">
        <v>6139</v>
      </c>
      <c r="F1328" s="4" t="s">
        <v>17</v>
      </c>
      <c r="G1328" s="1" t="s">
        <v>18</v>
      </c>
      <c r="H1328" s="1" t="s">
        <v>19</v>
      </c>
      <c r="I1328" s="1" t="s">
        <v>20</v>
      </c>
      <c r="J1328" s="1" t="s">
        <v>6140</v>
      </c>
      <c r="K1328" s="1" t="s">
        <v>22</v>
      </c>
      <c r="L1328" s="1" t="str">
        <f>HYPERLINK("https://files.afu.se/Downloads/Transcripts/0%20-%20Government/USA%20-%20NASA%20Kennedy/2011 09 08 - NASA's Kennedy Space Center - GRAIL Launch Scrub_j3ToJirqASc - transcript (automated).pdf","Transcript Link")</f>
        <v>Transcript Link</v>
      </c>
      <c r="M1328" s="2" t="str">
        <f>HYPERLINK("https://files.afu.se/Downloads/Transcripts/0%20-%20Government/USA%20-%20NASA%20Kennedy/2011 09 08 - NASA's Kennedy Space Center - GRAIL Launch Scrub_j3ToJirqASc - transcript (automated).pdf","Transcript Link")</f>
        <v>Transcript Link</v>
      </c>
    </row>
    <row r="1329" ht="255" spans="1:13">
      <c r="A1329" s="1" t="s">
        <v>6141</v>
      </c>
      <c r="B1329" s="1" t="s">
        <v>13</v>
      </c>
      <c r="C1329" s="4" t="s">
        <v>6142</v>
      </c>
      <c r="D1329" s="1" t="s">
        <v>6143</v>
      </c>
      <c r="E1329" s="1" t="s">
        <v>6144</v>
      </c>
      <c r="F1329" s="4" t="s">
        <v>17</v>
      </c>
      <c r="G1329" s="1" t="s">
        <v>18</v>
      </c>
      <c r="H1329" s="1" t="s">
        <v>19</v>
      </c>
      <c r="I1329" s="1" t="s">
        <v>20</v>
      </c>
      <c r="J1329" s="1" t="s">
        <v>6145</v>
      </c>
      <c r="K1329" s="1" t="s">
        <v>22</v>
      </c>
      <c r="L1329" s="1" t="str">
        <f>HYPERLINK("https://files.afu.se/Downloads/Transcripts/0%20-%20Government/USA%20-%20NASA%20Kennedy/2011 09 07 - NASA's Kennedy Space Center - GRAIL Webcast  Twin Spacecraft Bound for the Moon_gVZrSNjPbzM - transcript (automated).pdf","Transcript Link")</f>
        <v>Transcript Link</v>
      </c>
      <c r="M1329" s="2" t="str">
        <f>HYPERLINK("https://files.afu.se/Downloads/Transcripts/0%20-%20Government/USA%20-%20NASA%20Kennedy/2011 09 07 - NASA's Kennedy Space Center - GRAIL Webcast  Twin Spacecraft Bound for the Moon_gVZrSNjPbzM - transcript (automated).pdf","Transcript Link")</f>
        <v>Transcript Link</v>
      </c>
    </row>
    <row r="1330" ht="180" spans="1:13">
      <c r="A1330" s="1" t="s">
        <v>6141</v>
      </c>
      <c r="B1330" s="1" t="s">
        <v>13</v>
      </c>
      <c r="C1330" s="4" t="s">
        <v>6146</v>
      </c>
      <c r="D1330" s="1" t="s">
        <v>6147</v>
      </c>
      <c r="E1330" s="1" t="s">
        <v>6148</v>
      </c>
      <c r="F1330" s="4" t="s">
        <v>17</v>
      </c>
      <c r="G1330" s="1" t="s">
        <v>18</v>
      </c>
      <c r="H1330" s="1" t="s">
        <v>19</v>
      </c>
      <c r="I1330" s="1" t="s">
        <v>20</v>
      </c>
      <c r="J1330" s="1" t="s">
        <v>6149</v>
      </c>
      <c r="K1330" s="1" t="s">
        <v>22</v>
      </c>
      <c r="L1330" s="1" t="str">
        <f>HYPERLINK("https://files.afu.se/Downloads/Transcripts/0%20-%20Government/USA%20-%20NASA%20Kennedy/2011 09 07 - NASA's Kennedy Space Center - GRAIL Spacecraft and Vehicle Flow_VeI5TrOWHqs - transcript (automated).pdf","Transcript Link")</f>
        <v>Transcript Link</v>
      </c>
      <c r="M1330" s="2" t="str">
        <f>HYPERLINK("https://files.afu.se/Downloads/Transcripts/0%20-%20Government/USA%20-%20NASA%20Kennedy/2011 09 07 - NASA's Kennedy Space Center - GRAIL Spacecraft and Vehicle Flow_VeI5TrOWHqs - transcript (automated).pdf","Transcript Link")</f>
        <v>Transcript Link</v>
      </c>
    </row>
    <row r="1331" ht="180" spans="1:13">
      <c r="A1331" s="1" t="s">
        <v>6150</v>
      </c>
      <c r="B1331" s="1" t="s">
        <v>13</v>
      </c>
      <c r="C1331" s="4" t="s">
        <v>6151</v>
      </c>
      <c r="D1331" s="1" t="s">
        <v>6152</v>
      </c>
      <c r="E1331" s="1" t="s">
        <v>6153</v>
      </c>
      <c r="F1331" s="4" t="s">
        <v>17</v>
      </c>
      <c r="G1331" s="1" t="s">
        <v>18</v>
      </c>
      <c r="H1331" s="1" t="s">
        <v>19</v>
      </c>
      <c r="I1331" s="1" t="s">
        <v>20</v>
      </c>
      <c r="J1331" s="1" t="s">
        <v>6154</v>
      </c>
      <c r="K1331" s="1" t="s">
        <v>22</v>
      </c>
      <c r="L1331" s="1" t="str">
        <f>HYPERLINK("https://files.afu.se/Downloads/Transcripts/0%20-%20Government/USA%20-%20NASA%20Kennedy/2011 08 26 - NASA's Kennedy Space Center - Space Shuttle Flyout Series  Orbiter Processing Facility_YICa1oeS0Fg - transcript (automated).pdf","Transcript Link")</f>
        <v>Transcript Link</v>
      </c>
      <c r="M1331" s="2" t="str">
        <f>HYPERLINK("https://files.afu.se/Downloads/Transcripts/0%20-%20Government/USA%20-%20NASA%20Kennedy/2011 08 26 - NASA's Kennedy Space Center - Space Shuttle Flyout Series  Orbiter Processing Facility_YICa1oeS0Fg - transcript (automated).pdf","Transcript Link")</f>
        <v>Transcript Link</v>
      </c>
    </row>
    <row r="1332" ht="180" spans="1:13">
      <c r="A1332" s="1" t="s">
        <v>6155</v>
      </c>
      <c r="B1332" s="1" t="s">
        <v>13</v>
      </c>
      <c r="C1332" s="4" t="s">
        <v>6156</v>
      </c>
      <c r="D1332" s="1" t="s">
        <v>6157</v>
      </c>
      <c r="E1332" s="1" t="s">
        <v>5710</v>
      </c>
      <c r="F1332" s="4" t="s">
        <v>17</v>
      </c>
      <c r="G1332" s="1" t="s">
        <v>18</v>
      </c>
      <c r="H1332" s="1" t="s">
        <v>19</v>
      </c>
      <c r="I1332" s="1" t="s">
        <v>20</v>
      </c>
      <c r="J1332" s="1" t="s">
        <v>6158</v>
      </c>
      <c r="K1332" s="1" t="s">
        <v>22</v>
      </c>
      <c r="L1332" s="1" t="str">
        <f>HYPERLINK("https://files.afu.se/Downloads/Transcripts/0%20-%20Government/USA%20-%20NASA%20Kennedy/2011 08 15 - NASA's Kennedy Space Center - NASA Shuttle Rap Video_4EVCDiQTfYA - transcript (automated).pdf","Transcript Link")</f>
        <v>Transcript Link</v>
      </c>
      <c r="M1332" s="2" t="str">
        <f>HYPERLINK("https://files.afu.se/Downloads/Transcripts/0%20-%20Government/USA%20-%20NASA%20Kennedy/2011 08 15 - NASA's Kennedy Space Center - NASA Shuttle Rap Video_4EVCDiQTfYA - transcript (automated).pdf","Transcript Link")</f>
        <v>Transcript Link</v>
      </c>
    </row>
    <row r="1333" ht="180" spans="1:13">
      <c r="A1333" s="1" t="s">
        <v>6155</v>
      </c>
      <c r="B1333" s="1" t="s">
        <v>13</v>
      </c>
      <c r="C1333" s="4" t="s">
        <v>6159</v>
      </c>
      <c r="D1333" s="1" t="s">
        <v>6160</v>
      </c>
      <c r="F1333" s="4" t="s">
        <v>17</v>
      </c>
      <c r="G1333" s="1" t="s">
        <v>18</v>
      </c>
      <c r="H1333" s="1" t="s">
        <v>19</v>
      </c>
      <c r="I1333" s="1" t="s">
        <v>20</v>
      </c>
      <c r="J1333" s="1" t="s">
        <v>6161</v>
      </c>
      <c r="K1333" s="1" t="s">
        <v>22</v>
      </c>
      <c r="L1333" s="1" t="str">
        <f>HYPERLINK("https://files.afu.se/Downloads/Transcripts/0%20-%20Government/USA%20-%20NASA%20Kennedy/2011 08 15 - NASA's Kennedy Space Center - STS-135 Launch Tribute_mfjGKtqO-v0 - transcript (automated).pdf","Transcript Link")</f>
        <v>Transcript Link</v>
      </c>
      <c r="M1333" s="2" t="str">
        <f>HYPERLINK("https://files.afu.se/Downloads/Transcripts/0%20-%20Government/USA%20-%20NASA%20Kennedy/2011 08 15 - NASA's Kennedy Space Center - STS-135 Launch Tribute_mfjGKtqO-v0 - transcript (automated).pdf","Transcript Link")</f>
        <v>Transcript Link</v>
      </c>
    </row>
    <row r="1334" ht="180" spans="1:13">
      <c r="A1334" s="1" t="s">
        <v>6162</v>
      </c>
      <c r="B1334" s="1" t="s">
        <v>13</v>
      </c>
      <c r="C1334" s="4" t="s">
        <v>6163</v>
      </c>
      <c r="D1334" s="1" t="s">
        <v>6164</v>
      </c>
      <c r="E1334" s="1" t="s">
        <v>6165</v>
      </c>
      <c r="F1334" s="4" t="s">
        <v>17</v>
      </c>
      <c r="G1334" s="1" t="s">
        <v>18</v>
      </c>
      <c r="H1334" s="1" t="s">
        <v>19</v>
      </c>
      <c r="I1334" s="1" t="s">
        <v>20</v>
      </c>
      <c r="J1334" s="1" t="s">
        <v>6166</v>
      </c>
      <c r="K1334" s="1" t="s">
        <v>22</v>
      </c>
      <c r="L1334" s="1" t="str">
        <f>HYPERLINK("https://files.afu.se/Downloads/Transcripts/0%20-%20Government/USA%20-%20NASA%20Kennedy/2011 08 05 - NASA's Kennedy Space Center - Juno Launch Coverage  Interview with Launch Director_iv28NUxK_tY - transcript (automated).pdf","Transcript Link")</f>
        <v>Transcript Link</v>
      </c>
      <c r="M1334" s="2" t="str">
        <f>HYPERLINK("https://files.afu.se/Downloads/Transcripts/0%20-%20Government/USA%20-%20NASA%20Kennedy/2011 08 05 - NASA's Kennedy Space Center - Juno Launch Coverage  Interview with Launch Director_iv28NUxK_tY - transcript (automated).pdf","Transcript Link")</f>
        <v>Transcript Link</v>
      </c>
    </row>
    <row r="1335" ht="180" spans="1:13">
      <c r="A1335" s="1" t="s">
        <v>6162</v>
      </c>
      <c r="B1335" s="1" t="s">
        <v>13</v>
      </c>
      <c r="C1335" s="4" t="s">
        <v>6167</v>
      </c>
      <c r="D1335" s="1" t="s">
        <v>6168</v>
      </c>
      <c r="E1335" s="1" t="s">
        <v>6169</v>
      </c>
      <c r="F1335" s="4" t="s">
        <v>17</v>
      </c>
      <c r="G1335" s="1" t="s">
        <v>18</v>
      </c>
      <c r="H1335" s="1" t="s">
        <v>19</v>
      </c>
      <c r="I1335" s="1" t="s">
        <v>20</v>
      </c>
      <c r="J1335" s="1" t="s">
        <v>6170</v>
      </c>
      <c r="K1335" s="1" t="s">
        <v>22</v>
      </c>
      <c r="L1335" s="1" t="str">
        <f>HYPERLINK("https://files.afu.se/Downloads/Transcripts/0%20-%20Government/USA%20-%20NASA%20Kennedy/2011 08 05 - NASA's Kennedy Space Center - Juno Spacecraft Separation_niafVTy3iIM - transcript (automated).pdf","Transcript Link")</f>
        <v>Transcript Link</v>
      </c>
      <c r="M1335" s="2" t="str">
        <f>HYPERLINK("https://files.afu.se/Downloads/Transcripts/0%20-%20Government/USA%20-%20NASA%20Kennedy/2011 08 05 - NASA's Kennedy Space Center - Juno Spacecraft Separation_niafVTy3iIM - transcript (automated).pdf","Transcript Link")</f>
        <v>Transcript Link</v>
      </c>
    </row>
    <row r="1336" ht="180" spans="1:13">
      <c r="A1336" s="1" t="s">
        <v>6162</v>
      </c>
      <c r="B1336" s="1" t="s">
        <v>13</v>
      </c>
      <c r="C1336" s="4" t="s">
        <v>6171</v>
      </c>
      <c r="D1336" s="1" t="s">
        <v>6172</v>
      </c>
      <c r="E1336" s="1" t="s">
        <v>6173</v>
      </c>
      <c r="F1336" s="4" t="s">
        <v>17</v>
      </c>
      <c r="G1336" s="1" t="s">
        <v>18</v>
      </c>
      <c r="H1336" s="1" t="s">
        <v>19</v>
      </c>
      <c r="I1336" s="1" t="s">
        <v>20</v>
      </c>
      <c r="J1336" s="1" t="s">
        <v>6174</v>
      </c>
      <c r="K1336" s="1" t="s">
        <v>22</v>
      </c>
      <c r="L1336" s="1" t="str">
        <f>HYPERLINK("https://files.afu.se/Downloads/Transcripts/0%20-%20Government/USA%20-%20NASA%20Kennedy/2011 08 05 - NASA's Kennedy Space Center - Juno  Go  for Launch Poll_0Pk5NPQDO_o - transcript (automated).pdf","Transcript Link")</f>
        <v>Transcript Link</v>
      </c>
      <c r="M1336" s="2" t="str">
        <f>HYPERLINK("https://files.afu.se/Downloads/Transcripts/0%20-%20Government/USA%20-%20NASA%20Kennedy/2011 08 05 - NASA's Kennedy Space Center - Juno  Go  for Launch Poll_0Pk5NPQDO_o - transcript (automated).pdf","Transcript Link")</f>
        <v>Transcript Link</v>
      </c>
    </row>
    <row r="1337" ht="195" spans="1:13">
      <c r="A1337" s="1" t="s">
        <v>6162</v>
      </c>
      <c r="B1337" s="1" t="s">
        <v>13</v>
      </c>
      <c r="C1337" s="4" t="s">
        <v>6175</v>
      </c>
      <c r="D1337" s="1" t="s">
        <v>6176</v>
      </c>
      <c r="E1337" s="1" t="s">
        <v>6177</v>
      </c>
      <c r="F1337" s="4" t="s">
        <v>17</v>
      </c>
      <c r="G1337" s="1" t="s">
        <v>18</v>
      </c>
      <c r="H1337" s="1" t="s">
        <v>19</v>
      </c>
      <c r="I1337" s="1" t="s">
        <v>20</v>
      </c>
      <c r="J1337" s="1" t="s">
        <v>6178</v>
      </c>
      <c r="K1337" s="1" t="s">
        <v>22</v>
      </c>
      <c r="L1337" s="1" t="str">
        <f>HYPERLINK("https://files.afu.se/Downloads/Transcripts/0%20-%20Government/USA%20-%20NASA%20Kennedy/2011 08 05 - NASA's Kennedy Space Center - Launch of Juno!_ouNiZCw4bDU - transcript (automated).pdf","Transcript Link")</f>
        <v>Transcript Link</v>
      </c>
      <c r="M1337" s="2" t="str">
        <f>HYPERLINK("https://files.afu.se/Downloads/Transcripts/0%20-%20Government/USA%20-%20NASA%20Kennedy/2011 08 05 - NASA's Kennedy Space Center - Launch of Juno!_ouNiZCw4bDU - transcript (automated).pdf","Transcript Link")</f>
        <v>Transcript Link</v>
      </c>
    </row>
    <row r="1338" ht="180" spans="1:13">
      <c r="A1338" s="1" t="s">
        <v>6162</v>
      </c>
      <c r="B1338" s="1" t="s">
        <v>13</v>
      </c>
      <c r="C1338" s="4" t="s">
        <v>6179</v>
      </c>
      <c r="D1338" s="1" t="s">
        <v>6180</v>
      </c>
      <c r="E1338" s="1" t="s">
        <v>6181</v>
      </c>
      <c r="F1338" s="4" t="s">
        <v>17</v>
      </c>
      <c r="G1338" s="1" t="s">
        <v>18</v>
      </c>
      <c r="H1338" s="1" t="s">
        <v>19</v>
      </c>
      <c r="I1338" s="1" t="s">
        <v>20</v>
      </c>
      <c r="J1338" s="1" t="s">
        <v>6182</v>
      </c>
      <c r="K1338" s="1" t="s">
        <v>22</v>
      </c>
      <c r="L1338" s="1" t="str">
        <f>HYPERLINK("https://files.afu.se/Downloads/Transcripts/0%20-%20Government/USA%20-%20NASA%20Kennedy/2011 08 05 - NASA's Kennedy Space Center - Juno Launch  Introduction_7tMjZAFE6fU - transcript (automated).pdf","Transcript Link")</f>
        <v>Transcript Link</v>
      </c>
      <c r="M1338" s="2" t="str">
        <f>HYPERLINK("https://files.afu.se/Downloads/Transcripts/0%20-%20Government/USA%20-%20NASA%20Kennedy/2011 08 05 - NASA's Kennedy Space Center - Juno Launch  Introduction_7tMjZAFE6fU - transcript (automated).pdf","Transcript Link")</f>
        <v>Transcript Link</v>
      </c>
    </row>
    <row r="1339" ht="180" spans="1:13">
      <c r="A1339" s="1" t="s">
        <v>6183</v>
      </c>
      <c r="B1339" s="1" t="s">
        <v>13</v>
      </c>
      <c r="C1339" s="4" t="s">
        <v>6184</v>
      </c>
      <c r="D1339" s="1" t="s">
        <v>6185</v>
      </c>
      <c r="E1339" s="1" t="s">
        <v>6186</v>
      </c>
      <c r="F1339" s="4" t="s">
        <v>17</v>
      </c>
      <c r="G1339" s="1" t="s">
        <v>18</v>
      </c>
      <c r="H1339" s="1" t="s">
        <v>19</v>
      </c>
      <c r="I1339" s="1" t="s">
        <v>20</v>
      </c>
      <c r="J1339" s="1" t="s">
        <v>6187</v>
      </c>
      <c r="K1339" s="1" t="s">
        <v>22</v>
      </c>
      <c r="L1339" s="1" t="str">
        <f>HYPERLINK("https://files.afu.se/Downloads/Transcripts/0%20-%20Government/USA%20-%20NASA%20Kennedy/2011 08 04 - NASA's Kennedy Space Center - Juno Launch Vehicle and Spacecraft Readied for Launch_0fVAMaV7syE - transcript (automated).pdf","Transcript Link")</f>
        <v>Transcript Link</v>
      </c>
      <c r="M1339" s="2" t="str">
        <f>HYPERLINK("https://files.afu.se/Downloads/Transcripts/0%20-%20Government/USA%20-%20NASA%20Kennedy/2011 08 04 - NASA's Kennedy Space Center - Juno Launch Vehicle and Spacecraft Readied for Launch_0fVAMaV7syE - transcript (automated).pdf","Transcript Link")</f>
        <v>Transcript Link</v>
      </c>
    </row>
    <row r="1340" ht="180" spans="1:13">
      <c r="A1340" s="1" t="s">
        <v>6188</v>
      </c>
      <c r="B1340" s="1" t="s">
        <v>13</v>
      </c>
      <c r="C1340" s="4" t="s">
        <v>6189</v>
      </c>
      <c r="D1340" s="1" t="s">
        <v>6190</v>
      </c>
      <c r="E1340" s="1" t="s">
        <v>5710</v>
      </c>
      <c r="F1340" s="4" t="s">
        <v>17</v>
      </c>
      <c r="G1340" s="1" t="s">
        <v>18</v>
      </c>
      <c r="H1340" s="1" t="s">
        <v>19</v>
      </c>
      <c r="I1340" s="1" t="s">
        <v>20</v>
      </c>
      <c r="J1340" s="1" t="s">
        <v>6191</v>
      </c>
      <c r="K1340" s="1" t="s">
        <v>22</v>
      </c>
      <c r="L1340" s="1" t="str">
        <f>HYPERLINK("https://files.afu.se/Downloads/Transcripts/0%20-%20Government/USA%20-%20NASA%20Kennedy/2011 08 03 - NASA's Kennedy Space Center - Merritt Island Launch Annex (MILA) Mission Complete_pqAUjItddww - transcript (automated).pdf","Transcript Link")</f>
        <v>Transcript Link</v>
      </c>
      <c r="M1340" s="2" t="str">
        <f>HYPERLINK("https://files.afu.se/Downloads/Transcripts/0%20-%20Government/USA%20-%20NASA%20Kennedy/2011 08 03 - NASA's Kennedy Space Center - Merritt Island Launch Annex (MILA) Mission Complete_pqAUjItddww - transcript (automated).pdf","Transcript Link")</f>
        <v>Transcript Link</v>
      </c>
    </row>
    <row r="1341" ht="180" spans="1:13">
      <c r="A1341" s="1" t="s">
        <v>6188</v>
      </c>
      <c r="B1341" s="1" t="s">
        <v>13</v>
      </c>
      <c r="C1341" s="4" t="s">
        <v>6192</v>
      </c>
      <c r="D1341" s="1" t="s">
        <v>6193</v>
      </c>
      <c r="E1341" s="1" t="s">
        <v>6194</v>
      </c>
      <c r="F1341" s="4" t="s">
        <v>17</v>
      </c>
      <c r="G1341" s="1" t="s">
        <v>18</v>
      </c>
      <c r="H1341" s="1" t="s">
        <v>19</v>
      </c>
      <c r="I1341" s="1" t="s">
        <v>20</v>
      </c>
      <c r="J1341" s="1" t="s">
        <v>6195</v>
      </c>
      <c r="K1341" s="1" t="s">
        <v>22</v>
      </c>
      <c r="L1341" s="1" t="str">
        <f>HYPERLINK("https://files.afu.se/Downloads/Transcripts/0%20-%20Government/USA%20-%20NASA%20Kennedy/2011 08 03 - NASA's Kennedy Space Center - Columbia Tank Found on Lakebed_0oSTDKK2QW0 - transcript (automated).pdf","Transcript Link")</f>
        <v>Transcript Link</v>
      </c>
      <c r="M1341" s="2" t="str">
        <f>HYPERLINK("https://files.afu.se/Downloads/Transcripts/0%20-%20Government/USA%20-%20NASA%20Kennedy/2011 08 03 - NASA's Kennedy Space Center - Columbia Tank Found on Lakebed_0oSTDKK2QW0 - transcript (automated).pdf","Transcript Link")</f>
        <v>Transcript Link</v>
      </c>
    </row>
    <row r="1342" ht="180" spans="1:13">
      <c r="A1342" s="1" t="s">
        <v>6188</v>
      </c>
      <c r="B1342" s="1" t="s">
        <v>13</v>
      </c>
      <c r="C1342" s="4" t="s">
        <v>6196</v>
      </c>
      <c r="D1342" s="1" t="s">
        <v>6197</v>
      </c>
      <c r="E1342" s="1" t="s">
        <v>6198</v>
      </c>
      <c r="F1342" s="4" t="s">
        <v>17</v>
      </c>
      <c r="G1342" s="1" t="s">
        <v>18</v>
      </c>
      <c r="H1342" s="1" t="s">
        <v>19</v>
      </c>
      <c r="I1342" s="1" t="s">
        <v>20</v>
      </c>
      <c r="J1342" s="1" t="s">
        <v>6199</v>
      </c>
      <c r="K1342" s="1" t="s">
        <v>22</v>
      </c>
      <c r="L1342" s="1" t="str">
        <f>HYPERLINK("https://files.afu.se/Downloads/Transcripts/0%20-%20Government/USA%20-%20NASA%20Kennedy/2011 08 03 - NASA's Kennedy Space Center - Juno Mission Overview_7bVNYLE5PFQ - transcript (automated).pdf","Transcript Link")</f>
        <v>Transcript Link</v>
      </c>
      <c r="M1342" s="2" t="str">
        <f>HYPERLINK("https://files.afu.se/Downloads/Transcripts/0%20-%20Government/USA%20-%20NASA%20Kennedy/2011 08 03 - NASA's Kennedy Space Center - Juno Mission Overview_7bVNYLE5PFQ - transcript (automated).pdf","Transcript Link")</f>
        <v>Transcript Link</v>
      </c>
    </row>
    <row r="1343" ht="180" spans="1:13">
      <c r="A1343" s="1" t="s">
        <v>6200</v>
      </c>
      <c r="B1343" s="1" t="s">
        <v>13</v>
      </c>
      <c r="C1343" s="4" t="s">
        <v>6201</v>
      </c>
      <c r="D1343" s="1" t="s">
        <v>6202</v>
      </c>
      <c r="E1343" s="1" t="s">
        <v>6203</v>
      </c>
      <c r="F1343" s="4" t="s">
        <v>17</v>
      </c>
      <c r="G1343" s="1" t="s">
        <v>18</v>
      </c>
      <c r="H1343" s="1" t="s">
        <v>19</v>
      </c>
      <c r="I1343" s="1" t="s">
        <v>20</v>
      </c>
      <c r="J1343" s="1" t="s">
        <v>6204</v>
      </c>
      <c r="K1343" s="1" t="s">
        <v>22</v>
      </c>
      <c r="L1343" s="1" t="str">
        <f>HYPERLINK("https://files.afu.se/Downloads/Transcripts/0%20-%20Government/USA%20-%20NASA%20Kennedy/2011 07 28 - NASA's Kennedy Space Center - The STS-135 Mission Recap_tgp33OYAJ18 - transcript (automated).pdf","Transcript Link")</f>
        <v>Transcript Link</v>
      </c>
      <c r="M1343" s="2" t="str">
        <f>HYPERLINK("https://files.afu.se/Downloads/Transcripts/0%20-%20Government/USA%20-%20NASA%20Kennedy/2011 07 28 - NASA's Kennedy Space Center - The STS-135 Mission Recap_tgp33OYAJ18 - transcript (automated).pdf","Transcript Link")</f>
        <v>Transcript Link</v>
      </c>
    </row>
    <row r="1344" ht="180" spans="1:13">
      <c r="A1344" s="1" t="s">
        <v>6205</v>
      </c>
      <c r="B1344" s="1" t="s">
        <v>13</v>
      </c>
      <c r="C1344" s="4" t="s">
        <v>6206</v>
      </c>
      <c r="D1344" s="1" t="s">
        <v>6207</v>
      </c>
      <c r="F1344" s="4" t="s">
        <v>17</v>
      </c>
      <c r="G1344" s="1" t="s">
        <v>18</v>
      </c>
      <c r="H1344" s="1" t="s">
        <v>19</v>
      </c>
      <c r="I1344" s="1" t="s">
        <v>20</v>
      </c>
      <c r="J1344" s="1" t="s">
        <v>6208</v>
      </c>
      <c r="K1344" s="1" t="s">
        <v>22</v>
      </c>
      <c r="L1344" s="1" t="str">
        <f>HYPERLINK("https://files.afu.se/Downloads/Transcripts/0%20-%20Government/USA%20-%20NASA%20Kennedy/2011 07 22 - NASA's Kennedy Space Center - Space Shuttle Flyout  Landing Convoy_GEJUGdvMVGk - transcript (automated).pdf","Transcript Link")</f>
        <v>Transcript Link</v>
      </c>
      <c r="M1344" s="2" t="str">
        <f>HYPERLINK("https://files.afu.se/Downloads/Transcripts/0%20-%20Government/USA%20-%20NASA%20Kennedy/2011 07 22 - NASA's Kennedy Space Center - Space Shuttle Flyout  Landing Convoy_GEJUGdvMVGk - transcript (automated).pdf","Transcript Link")</f>
        <v>Transcript Link</v>
      </c>
    </row>
    <row r="1345" ht="180" spans="1:13">
      <c r="A1345" s="1" t="s">
        <v>6205</v>
      </c>
      <c r="B1345" s="1" t="s">
        <v>13</v>
      </c>
      <c r="C1345" s="4" t="s">
        <v>6209</v>
      </c>
      <c r="D1345" s="1" t="s">
        <v>6210</v>
      </c>
      <c r="E1345" s="1" t="s">
        <v>6211</v>
      </c>
      <c r="F1345" s="4" t="s">
        <v>17</v>
      </c>
      <c r="G1345" s="1" t="s">
        <v>18</v>
      </c>
      <c r="H1345" s="1" t="s">
        <v>19</v>
      </c>
      <c r="I1345" s="1" t="s">
        <v>20</v>
      </c>
      <c r="J1345" s="1" t="s">
        <v>6212</v>
      </c>
      <c r="K1345" s="1" t="s">
        <v>22</v>
      </c>
      <c r="L1345" s="1" t="str">
        <f>HYPERLINK("https://files.afu.se/Downloads/Transcripts/0%20-%20Government/USA%20-%20NASA%20Kennedy/2011 07 22 - NASA's Kennedy Space Center - Mars Science Lab  David Gruel_aEhfEZZhKa0 - transcript (automated).pdf","Transcript Link")</f>
        <v>Transcript Link</v>
      </c>
      <c r="M1345" s="2" t="str">
        <f>HYPERLINK("https://files.afu.se/Downloads/Transcripts/0%20-%20Government/USA%20-%20NASA%20Kennedy/2011 07 22 - NASA's Kennedy Space Center - Mars Science Lab  David Gruel_aEhfEZZhKa0 - transcript (automated).pdf","Transcript Link")</f>
        <v>Transcript Link</v>
      </c>
    </row>
    <row r="1346" ht="195" spans="1:13">
      <c r="A1346" s="1" t="s">
        <v>6205</v>
      </c>
      <c r="B1346" s="1" t="s">
        <v>13</v>
      </c>
      <c r="C1346" s="4" t="s">
        <v>6213</v>
      </c>
      <c r="D1346" s="1" t="s">
        <v>6214</v>
      </c>
      <c r="E1346" s="1" t="s">
        <v>6215</v>
      </c>
      <c r="F1346" s="4" t="s">
        <v>17</v>
      </c>
      <c r="G1346" s="1" t="s">
        <v>18</v>
      </c>
      <c r="H1346" s="1" t="s">
        <v>19</v>
      </c>
      <c r="I1346" s="1" t="s">
        <v>20</v>
      </c>
      <c r="J1346" s="1" t="s">
        <v>6216</v>
      </c>
      <c r="K1346" s="1" t="s">
        <v>22</v>
      </c>
      <c r="L1346" s="1" t="str">
        <f>HYPERLINK("https://files.afu.se/Downloads/Transcripts/0%20-%20Government/USA%20-%20NASA%20Kennedy/2011 07 22 - NASA's Kennedy Space Center - STS-135 Landing Crew Comments_HK0WqrkuAic - transcript (automated).pdf","Transcript Link")</f>
        <v>Transcript Link</v>
      </c>
      <c r="M1346" s="2" t="str">
        <f>HYPERLINK("https://files.afu.se/Downloads/Transcripts/0%20-%20Government/USA%20-%20NASA%20Kennedy/2011 07 22 - NASA's Kennedy Space Center - STS-135 Landing Crew Comments_HK0WqrkuAic - transcript (automated).pdf","Transcript Link")</f>
        <v>Transcript Link</v>
      </c>
    </row>
    <row r="1347" ht="195" spans="1:13">
      <c r="A1347" s="1" t="s">
        <v>6205</v>
      </c>
      <c r="B1347" s="1" t="s">
        <v>13</v>
      </c>
      <c r="C1347" s="4" t="s">
        <v>6217</v>
      </c>
      <c r="D1347" s="1" t="s">
        <v>6218</v>
      </c>
      <c r="E1347" s="1" t="s">
        <v>6219</v>
      </c>
      <c r="F1347" s="4" t="s">
        <v>17</v>
      </c>
      <c r="G1347" s="1" t="s">
        <v>18</v>
      </c>
      <c r="H1347" s="1" t="s">
        <v>19</v>
      </c>
      <c r="I1347" s="1" t="s">
        <v>20</v>
      </c>
      <c r="J1347" s="1" t="s">
        <v>6220</v>
      </c>
      <c r="K1347" s="1" t="s">
        <v>22</v>
      </c>
      <c r="L1347" s="1" t="str">
        <f>HYPERLINK("https://files.afu.se/Downloads/Transcripts/0%20-%20Government/USA%20-%20NASA%20Kennedy/2011 07 22 - NASA's Kennedy Space Center - Space Shuttle Era  Astronaut Support Personnel_TrOwm2q019Q - transcript (automated).pdf","Transcript Link")</f>
        <v>Transcript Link</v>
      </c>
      <c r="M1347" s="2" t="str">
        <f>HYPERLINK("https://files.afu.se/Downloads/Transcripts/0%20-%20Government/USA%20-%20NASA%20Kennedy/2011 07 22 - NASA's Kennedy Space Center - Space Shuttle Era  Astronaut Support Personnel_TrOwm2q019Q - transcript (automated).pdf","Transcript Link")</f>
        <v>Transcript Link</v>
      </c>
    </row>
    <row r="1348" ht="180" spans="1:13">
      <c r="A1348" s="1" t="s">
        <v>6221</v>
      </c>
      <c r="B1348" s="1" t="s">
        <v>13</v>
      </c>
      <c r="C1348" s="4" t="s">
        <v>6222</v>
      </c>
      <c r="D1348" s="1" t="s">
        <v>6223</v>
      </c>
      <c r="E1348" s="1" t="s">
        <v>6224</v>
      </c>
      <c r="F1348" s="4" t="s">
        <v>17</v>
      </c>
      <c r="G1348" s="1" t="s">
        <v>18</v>
      </c>
      <c r="H1348" s="1" t="s">
        <v>19</v>
      </c>
      <c r="I1348" s="1" t="s">
        <v>20</v>
      </c>
      <c r="J1348" s="1" t="s">
        <v>6225</v>
      </c>
      <c r="K1348" s="1" t="s">
        <v>22</v>
      </c>
      <c r="L1348" s="1" t="str">
        <f>HYPERLINK("https://files.afu.se/Downloads/Transcripts/0%20-%20Government/USA%20-%20NASA%20Kennedy/2011 07 21 - NASA's Kennedy Space Center - Landing of STS-135, the final space shuttle mission_Pc18Sjz2-Rg - transcript (automated).pdf","Transcript Link")</f>
        <v>Transcript Link</v>
      </c>
      <c r="M1348" s="2" t="str">
        <f>HYPERLINK("https://files.afu.se/Downloads/Transcripts/0%20-%20Government/USA%20-%20NASA%20Kennedy/2011 07 21 - NASA's Kennedy Space Center - Landing of STS-135, the final space shuttle mission_Pc18Sjz2-Rg - transcript (automated).pdf","Transcript Link")</f>
        <v>Transcript Link</v>
      </c>
    </row>
    <row r="1349" ht="180" spans="1:13">
      <c r="A1349" s="1" t="s">
        <v>6221</v>
      </c>
      <c r="B1349" s="1" t="s">
        <v>13</v>
      </c>
      <c r="C1349" s="4" t="s">
        <v>6226</v>
      </c>
      <c r="D1349" s="1" t="s">
        <v>6227</v>
      </c>
      <c r="E1349" s="1" t="s">
        <v>6228</v>
      </c>
      <c r="F1349" s="4" t="s">
        <v>17</v>
      </c>
      <c r="G1349" s="1" t="s">
        <v>18</v>
      </c>
      <c r="H1349" s="1" t="s">
        <v>19</v>
      </c>
      <c r="I1349" s="1" t="s">
        <v>20</v>
      </c>
      <c r="J1349" s="1" t="s">
        <v>6229</v>
      </c>
      <c r="K1349" s="1" t="s">
        <v>22</v>
      </c>
      <c r="L1349" s="1" t="str">
        <f>HYPERLINK("https://files.afu.se/Downloads/Transcripts/0%20-%20Government/USA%20-%20NASA%20Kennedy/2011 07 21 - NASA's Kennedy Space Center - STS-135 Landing - Call for Deorbit Burn_UHKuORG_XKI - transcript (automated).pdf","Transcript Link")</f>
        <v>Transcript Link</v>
      </c>
      <c r="M1349" s="2" t="str">
        <f>HYPERLINK("https://files.afu.se/Downloads/Transcripts/0%20-%20Government/USA%20-%20NASA%20Kennedy/2011 07 21 - NASA's Kennedy Space Center - STS-135 Landing - Call for Deorbit Burn_UHKuORG_XKI - transcript (automated).pdf","Transcript Link")</f>
        <v>Transcript Link</v>
      </c>
    </row>
    <row r="1350" ht="195" spans="1:13">
      <c r="A1350" s="1" t="s">
        <v>6230</v>
      </c>
      <c r="B1350" s="1" t="s">
        <v>13</v>
      </c>
      <c r="C1350" s="4" t="s">
        <v>6231</v>
      </c>
      <c r="D1350" s="1" t="s">
        <v>6232</v>
      </c>
      <c r="E1350" s="1" t="s">
        <v>6233</v>
      </c>
      <c r="F1350" s="4" t="s">
        <v>17</v>
      </c>
      <c r="G1350" s="1" t="s">
        <v>18</v>
      </c>
      <c r="H1350" s="1" t="s">
        <v>19</v>
      </c>
      <c r="I1350" s="1" t="s">
        <v>20</v>
      </c>
      <c r="J1350" s="1" t="s">
        <v>6234</v>
      </c>
      <c r="K1350" s="1" t="s">
        <v>22</v>
      </c>
      <c r="L1350" s="1" t="str">
        <f>HYPERLINK("https://files.afu.se/Downloads/Transcripts/0%20-%20Government/USA%20-%20NASA%20Kennedy/2011 07 20 - NASA's Kennedy Space Center - Flying In The STA_BRzf-UbYmhM - transcript (automated).pdf","Transcript Link")</f>
        <v>Transcript Link</v>
      </c>
      <c r="M1350" s="2" t="str">
        <f>HYPERLINK("https://files.afu.se/Downloads/Transcripts/0%20-%20Government/USA%20-%20NASA%20Kennedy/2011 07 20 - NASA's Kennedy Space Center - Flying In The STA_BRzf-UbYmhM - transcript (automated).pdf","Transcript Link")</f>
        <v>Transcript Link</v>
      </c>
    </row>
    <row r="1351" ht="180" spans="1:13">
      <c r="A1351" s="1" t="s">
        <v>6230</v>
      </c>
      <c r="B1351" s="1" t="s">
        <v>13</v>
      </c>
      <c r="C1351" s="4" t="s">
        <v>6235</v>
      </c>
      <c r="D1351" s="1" t="s">
        <v>6236</v>
      </c>
      <c r="E1351" s="1" t="s">
        <v>6237</v>
      </c>
      <c r="F1351" s="4" t="s">
        <v>17</v>
      </c>
      <c r="G1351" s="1" t="s">
        <v>18</v>
      </c>
      <c r="H1351" s="1" t="s">
        <v>19</v>
      </c>
      <c r="I1351" s="1" t="s">
        <v>20</v>
      </c>
      <c r="J1351" s="1" t="s">
        <v>6238</v>
      </c>
      <c r="K1351" s="1" t="s">
        <v>22</v>
      </c>
      <c r="L1351" s="1" t="str">
        <f>HYPERLINK("https://files.afu.se/Downloads/Transcripts/0%20-%20Government/USA%20-%20NASA%20Kennedy/2011 07 20 - NASA's Kennedy Space Center - Solid Rocket Booster Recovery Divers__5td92FfgHk - transcript (automated).pdf","Transcript Link")</f>
        <v>Transcript Link</v>
      </c>
      <c r="M1351" s="2" t="str">
        <f>HYPERLINK("https://files.afu.se/Downloads/Transcripts/0%20-%20Government/USA%20-%20NASA%20Kennedy/2011 07 20 - NASA's Kennedy Space Center - Solid Rocket Booster Recovery Divers__5td92FfgHk - transcript (automated).pdf","Transcript Link")</f>
        <v>Transcript Link</v>
      </c>
    </row>
    <row r="1352" ht="255" spans="1:13">
      <c r="A1352" s="1" t="s">
        <v>6230</v>
      </c>
      <c r="B1352" s="1" t="s">
        <v>13</v>
      </c>
      <c r="C1352" s="4" t="s">
        <v>6239</v>
      </c>
      <c r="D1352" s="1" t="s">
        <v>6240</v>
      </c>
      <c r="E1352" s="1" t="s">
        <v>6241</v>
      </c>
      <c r="F1352" s="4" t="s">
        <v>17</v>
      </c>
      <c r="G1352" s="1" t="s">
        <v>18</v>
      </c>
      <c r="H1352" s="1" t="s">
        <v>19</v>
      </c>
      <c r="I1352" s="1" t="s">
        <v>20</v>
      </c>
      <c r="J1352" s="1" t="s">
        <v>6242</v>
      </c>
      <c r="K1352" s="1" t="s">
        <v>22</v>
      </c>
      <c r="L1352" s="1" t="str">
        <f>HYPERLINK("https://files.afu.se/Downloads/Transcripts/0%20-%20Government/USA%20-%20NASA%20Kennedy/2011 07 20 - NASA's Kennedy Space Center - Kennedy Space Center Wakes STS-135 Crew_y-5Jj7DDfqg - transcript (automated).pdf","Transcript Link")</f>
        <v>Transcript Link</v>
      </c>
      <c r="M1352" s="2" t="str">
        <f>HYPERLINK("https://files.afu.se/Downloads/Transcripts/0%20-%20Government/USA%20-%20NASA%20Kennedy/2011 07 20 - NASA's Kennedy Space Center - Kennedy Space Center Wakes STS-135 Crew_y-5Jj7DDfqg - transcript (automated).pdf","Transcript Link")</f>
        <v>Transcript Link</v>
      </c>
    </row>
    <row r="1353" ht="180" spans="1:13">
      <c r="A1353" s="1" t="s">
        <v>6243</v>
      </c>
      <c r="B1353" s="1" t="s">
        <v>13</v>
      </c>
      <c r="C1353" s="4" t="s">
        <v>6244</v>
      </c>
      <c r="D1353" s="1" t="s">
        <v>6245</v>
      </c>
      <c r="E1353" s="1" t="s">
        <v>5710</v>
      </c>
      <c r="F1353" s="4" t="s">
        <v>17</v>
      </c>
      <c r="G1353" s="1" t="s">
        <v>18</v>
      </c>
      <c r="H1353" s="1" t="s">
        <v>19</v>
      </c>
      <c r="I1353" s="1" t="s">
        <v>20</v>
      </c>
      <c r="J1353" s="1" t="s">
        <v>6246</v>
      </c>
      <c r="K1353" s="1" t="s">
        <v>22</v>
      </c>
      <c r="L1353" s="1" t="str">
        <f>HYPERLINK("https://files.afu.se/Downloads/Transcripts/0%20-%20Government/USA%20-%20NASA%20Kennedy/2011 07 18 - NASA's Kennedy Space Center - Learning Space  Don't Eat the Pumpkin Suits!_oJLgMxGOqUw - transcript (automated).pdf","Transcript Link")</f>
        <v>Transcript Link</v>
      </c>
      <c r="M1353" s="2" t="str">
        <f>HYPERLINK("https://files.afu.se/Downloads/Transcripts/0%20-%20Government/USA%20-%20NASA%20Kennedy/2011 07 18 - NASA's Kennedy Space Center - Learning Space  Don't Eat the Pumpkin Suits!_oJLgMxGOqUw - transcript (automated).pdf","Transcript Link")</f>
        <v>Transcript Link</v>
      </c>
    </row>
    <row r="1354" ht="180" spans="1:13">
      <c r="A1354" s="1" t="s">
        <v>6243</v>
      </c>
      <c r="B1354" s="1" t="s">
        <v>13</v>
      </c>
      <c r="C1354" s="4" t="s">
        <v>6247</v>
      </c>
      <c r="D1354" s="1" t="s">
        <v>6248</v>
      </c>
      <c r="E1354" s="1" t="s">
        <v>5710</v>
      </c>
      <c r="F1354" s="4" t="s">
        <v>17</v>
      </c>
      <c r="G1354" s="1" t="s">
        <v>18</v>
      </c>
      <c r="H1354" s="1" t="s">
        <v>19</v>
      </c>
      <c r="I1354" s="1" t="s">
        <v>20</v>
      </c>
      <c r="J1354" s="1" t="s">
        <v>6249</v>
      </c>
      <c r="K1354" s="1" t="s">
        <v>22</v>
      </c>
      <c r="L1354" s="1" t="str">
        <f>HYPERLINK("https://files.afu.se/Downloads/Transcripts/0%20-%20Government/USA%20-%20NASA%20Kennedy/2011 07 18 - NASA's Kennedy Space Center - Learning Space  Exercise to Stay Strong_pUg7vkoC4Cc - transcript (automated).pdf","Transcript Link")</f>
        <v>Transcript Link</v>
      </c>
      <c r="M1354" s="2" t="str">
        <f>HYPERLINK("https://files.afu.se/Downloads/Transcripts/0%20-%20Government/USA%20-%20NASA%20Kennedy/2011 07 18 - NASA's Kennedy Space Center - Learning Space  Exercise to Stay Strong_pUg7vkoC4Cc - transcript (automated).pdf","Transcript Link")</f>
        <v>Transcript Link</v>
      </c>
    </row>
    <row r="1355" ht="180" spans="1:13">
      <c r="A1355" s="1" t="s">
        <v>6243</v>
      </c>
      <c r="B1355" s="1" t="s">
        <v>13</v>
      </c>
      <c r="C1355" s="4" t="s">
        <v>6250</v>
      </c>
      <c r="D1355" s="1" t="s">
        <v>6251</v>
      </c>
      <c r="E1355" s="1" t="s">
        <v>5710</v>
      </c>
      <c r="F1355" s="4" t="s">
        <v>17</v>
      </c>
      <c r="G1355" s="1" t="s">
        <v>18</v>
      </c>
      <c r="H1355" s="1" t="s">
        <v>19</v>
      </c>
      <c r="I1355" s="1" t="s">
        <v>20</v>
      </c>
      <c r="J1355" s="1" t="s">
        <v>6252</v>
      </c>
      <c r="K1355" s="1" t="s">
        <v>22</v>
      </c>
      <c r="L1355" s="1" t="str">
        <f>HYPERLINK("https://files.afu.se/Downloads/Transcripts/0%20-%20Government/USA%20-%20NASA%20Kennedy/2011 07 18 - NASA's Kennedy Space Center - Learning Space  Good Food is Good in Orbit, Too!_L7z3iA1Iruw - transcript (automated).pdf","Transcript Link")</f>
        <v>Transcript Link</v>
      </c>
      <c r="M1355" s="2" t="str">
        <f>HYPERLINK("https://files.afu.se/Downloads/Transcripts/0%20-%20Government/USA%20-%20NASA%20Kennedy/2011 07 18 - NASA's Kennedy Space Center - Learning Space  Good Food is Good in Orbit, Too!_L7z3iA1Iruw - transcript (automated).pdf","Transcript Link")</f>
        <v>Transcript Link</v>
      </c>
    </row>
    <row r="1356" ht="180" spans="1:13">
      <c r="A1356" s="1" t="s">
        <v>6243</v>
      </c>
      <c r="B1356" s="1" t="s">
        <v>13</v>
      </c>
      <c r="C1356" s="4" t="s">
        <v>6253</v>
      </c>
      <c r="D1356" s="1" t="s">
        <v>6254</v>
      </c>
      <c r="E1356" s="1" t="s">
        <v>5710</v>
      </c>
      <c r="F1356" s="4" t="s">
        <v>17</v>
      </c>
      <c r="G1356" s="1" t="s">
        <v>18</v>
      </c>
      <c r="H1356" s="1" t="s">
        <v>19</v>
      </c>
      <c r="I1356" s="1" t="s">
        <v>20</v>
      </c>
      <c r="J1356" s="1" t="s">
        <v>6255</v>
      </c>
      <c r="K1356" s="1" t="s">
        <v>22</v>
      </c>
      <c r="L1356" s="1" t="str">
        <f>HYPERLINK("https://files.afu.se/Downloads/Transcripts/0%20-%20Government/USA%20-%20NASA%20Kennedy/2011 07 18 - NASA's Kennedy Space Center - Learning Space  Stay Clean Without Taking a Bath_1AscBT6Vt8c - transcript (automated).pdf","Transcript Link")</f>
        <v>Transcript Link</v>
      </c>
      <c r="M1356" s="2" t="str">
        <f>HYPERLINK("https://files.afu.se/Downloads/Transcripts/0%20-%20Government/USA%20-%20NASA%20Kennedy/2011 07 18 - NASA's Kennedy Space Center - Learning Space  Stay Clean Without Taking a Bath_1AscBT6Vt8c - transcript (automated).pdf","Transcript Link")</f>
        <v>Transcript Link</v>
      </c>
    </row>
    <row r="1357" ht="180" spans="1:13">
      <c r="A1357" s="1" t="s">
        <v>6256</v>
      </c>
      <c r="B1357" s="1" t="s">
        <v>13</v>
      </c>
      <c r="C1357" s="4" t="s">
        <v>6257</v>
      </c>
      <c r="D1357" s="1" t="s">
        <v>6258</v>
      </c>
      <c r="E1357" s="1" t="s">
        <v>6259</v>
      </c>
      <c r="F1357" s="4" t="s">
        <v>17</v>
      </c>
      <c r="G1357" s="1" t="s">
        <v>18</v>
      </c>
      <c r="H1357" s="1" t="s">
        <v>19</v>
      </c>
      <c r="I1357" s="1" t="s">
        <v>20</v>
      </c>
      <c r="J1357" s="1" t="s">
        <v>6260</v>
      </c>
      <c r="K1357" s="1" t="s">
        <v>22</v>
      </c>
      <c r="L1357" s="1" t="str">
        <f>HYPERLINK("https://files.afu.se/Downloads/Transcripts/0%20-%20Government/USA%20-%20NASA%20Kennedy/2011 07 15 - NASA's Kennedy Space Center - Flyout Series  SRB Retrieval Ships_fa-m9gptKVE - transcript (automated).pdf","Transcript Link")</f>
        <v>Transcript Link</v>
      </c>
      <c r="M1357" s="2" t="str">
        <f>HYPERLINK("https://files.afu.se/Downloads/Transcripts/0%20-%20Government/USA%20-%20NASA%20Kennedy/2011 07 15 - NASA's Kennedy Space Center - Flyout Series  SRB Retrieval Ships_fa-m9gptKVE - transcript (automated).pdf","Transcript Link")</f>
        <v>Transcript Link</v>
      </c>
    </row>
    <row r="1358" ht="180" spans="1:13">
      <c r="A1358" s="1" t="s">
        <v>6261</v>
      </c>
      <c r="B1358" s="1" t="s">
        <v>13</v>
      </c>
      <c r="C1358" s="4" t="s">
        <v>6262</v>
      </c>
      <c r="D1358" s="1" t="s">
        <v>6263</v>
      </c>
      <c r="E1358" s="1" t="s">
        <v>6264</v>
      </c>
      <c r="F1358" s="4" t="s">
        <v>17</v>
      </c>
      <c r="G1358" s="1" t="s">
        <v>18</v>
      </c>
      <c r="H1358" s="1" t="s">
        <v>19</v>
      </c>
      <c r="I1358" s="1" t="s">
        <v>20</v>
      </c>
      <c r="J1358" s="1" t="s">
        <v>6265</v>
      </c>
      <c r="K1358" s="1" t="s">
        <v>22</v>
      </c>
      <c r="L1358" s="1" t="str">
        <f>HYPERLINK("https://files.afu.se/Downloads/Transcripts/0%20-%20Government/USA%20-%20NASA%20Kennedy/2011 07 14 - NASA's Kennedy Space Center - Learning Space  Elmo visits NASA's Kennedy Space Center_DVObUdv0_cQ - transcript (automated).pdf","Transcript Link")</f>
        <v>Transcript Link</v>
      </c>
      <c r="M1358" s="2" t="str">
        <f>HYPERLINK("https://files.afu.se/Downloads/Transcripts/0%20-%20Government/USA%20-%20NASA%20Kennedy/2011 07 14 - NASA's Kennedy Space Center - Learning Space  Elmo visits NASA's Kennedy Space Center_DVObUdv0_cQ - transcript (automated).pdf","Transcript Link")</f>
        <v>Transcript Link</v>
      </c>
    </row>
    <row r="1359" ht="180" spans="1:13">
      <c r="A1359" s="1" t="s">
        <v>6266</v>
      </c>
      <c r="B1359" s="1" t="s">
        <v>13</v>
      </c>
      <c r="C1359" s="4" t="s">
        <v>6267</v>
      </c>
      <c r="D1359" s="1" t="s">
        <v>6268</v>
      </c>
      <c r="E1359" s="1" t="s">
        <v>5710</v>
      </c>
      <c r="F1359" s="4" t="s">
        <v>17</v>
      </c>
      <c r="G1359" s="1" t="s">
        <v>18</v>
      </c>
      <c r="H1359" s="1" t="s">
        <v>19</v>
      </c>
      <c r="I1359" s="1" t="s">
        <v>20</v>
      </c>
      <c r="J1359" s="1" t="s">
        <v>6269</v>
      </c>
      <c r="K1359" s="1" t="s">
        <v>22</v>
      </c>
      <c r="L1359" s="1" t="str">
        <f>HYPERLINK("https://files.afu.se/Downloads/Transcripts/0%20-%20Government/USA%20-%20NASA%20Kennedy/2011 07 08 - NASA's Kennedy Space Center - STS-135 External Tank Jettison_Ejwe3PnWn88 - transcript (automated).pdf","Transcript Link")</f>
        <v>Transcript Link</v>
      </c>
      <c r="M1359" s="2" t="str">
        <f>HYPERLINK("https://files.afu.se/Downloads/Transcripts/0%20-%20Government/USA%20-%20NASA%20Kennedy/2011 07 08 - NASA's Kennedy Space Center - STS-135 External Tank Jettison_Ejwe3PnWn88 - transcript (automated).pdf","Transcript Link")</f>
        <v>Transcript Link</v>
      </c>
    </row>
    <row r="1360" ht="180" spans="1:13">
      <c r="A1360" s="1" t="s">
        <v>6266</v>
      </c>
      <c r="B1360" s="1" t="s">
        <v>13</v>
      </c>
      <c r="C1360" s="4" t="s">
        <v>6270</v>
      </c>
      <c r="D1360" s="1" t="s">
        <v>6271</v>
      </c>
      <c r="E1360" s="1" t="s">
        <v>5710</v>
      </c>
      <c r="F1360" s="4" t="s">
        <v>17</v>
      </c>
      <c r="G1360" s="1" t="s">
        <v>18</v>
      </c>
      <c r="H1360" s="1" t="s">
        <v>19</v>
      </c>
      <c r="I1360" s="1" t="s">
        <v>20</v>
      </c>
      <c r="J1360" s="1" t="s">
        <v>6272</v>
      </c>
      <c r="K1360" s="1" t="s">
        <v>22</v>
      </c>
      <c r="L1360" s="1" t="str">
        <f>HYPERLINK("https://files.afu.se/Downloads/Transcripts/0%20-%20Government/USA%20-%20NASA%20Kennedy/2011 07 08 - NASA's Kennedy Space Center - STS-135 Launch Replay  UCS-15 (TV-21A)_C_8cfzWoYVQ - transcript (automated).pdf","Transcript Link")</f>
        <v>Transcript Link</v>
      </c>
      <c r="M1360" s="2" t="str">
        <f>HYPERLINK("https://files.afu.se/Downloads/Transcripts/0%20-%20Government/USA%20-%20NASA%20Kennedy/2011 07 08 - NASA's Kennedy Space Center - STS-135 Launch Replay  UCS-15 (TV-21A)_C_8cfzWoYVQ - transcript (automated).pdf","Transcript Link")</f>
        <v>Transcript Link</v>
      </c>
    </row>
    <row r="1361" ht="180" spans="1:13">
      <c r="A1361" s="1" t="s">
        <v>6266</v>
      </c>
      <c r="B1361" s="1" t="s">
        <v>13</v>
      </c>
      <c r="C1361" s="4" t="s">
        <v>6273</v>
      </c>
      <c r="D1361" s="1" t="s">
        <v>6274</v>
      </c>
      <c r="E1361" s="1" t="s">
        <v>5710</v>
      </c>
      <c r="F1361" s="4" t="s">
        <v>17</v>
      </c>
      <c r="G1361" s="1" t="s">
        <v>18</v>
      </c>
      <c r="H1361" s="1" t="s">
        <v>19</v>
      </c>
      <c r="I1361" s="1" t="s">
        <v>20</v>
      </c>
      <c r="J1361" s="1" t="s">
        <v>6275</v>
      </c>
      <c r="K1361" s="1" t="s">
        <v>22</v>
      </c>
      <c r="L1361" s="1" t="str">
        <f>HYPERLINK("https://files.afu.se/Downloads/Transcripts/0%20-%20Government/USA%20-%20NASA%20Kennedy/2011 07 08 - NASA's Kennedy Space Center - STS-135 Launch Replay   Press Site (TV-50)_uSpZtTrQo_A - transcript (automated).pdf","Transcript Link")</f>
        <v>Transcript Link</v>
      </c>
      <c r="M1361" s="2" t="str">
        <f>HYPERLINK("https://files.afu.se/Downloads/Transcripts/0%20-%20Government/USA%20-%20NASA%20Kennedy/2011 07 08 - NASA's Kennedy Space Center - STS-135 Launch Replay   Press Site (TV-50)_uSpZtTrQo_A - transcript (automated).pdf","Transcript Link")</f>
        <v>Transcript Link</v>
      </c>
    </row>
    <row r="1362" ht="180" spans="1:13">
      <c r="A1362" s="1" t="s">
        <v>6266</v>
      </c>
      <c r="B1362" s="1" t="s">
        <v>13</v>
      </c>
      <c r="C1362" s="4" t="s">
        <v>6276</v>
      </c>
      <c r="D1362" s="1" t="s">
        <v>6277</v>
      </c>
      <c r="E1362" s="1" t="s">
        <v>5710</v>
      </c>
      <c r="F1362" s="4" t="s">
        <v>17</v>
      </c>
      <c r="G1362" s="1" t="s">
        <v>18</v>
      </c>
      <c r="H1362" s="1" t="s">
        <v>19</v>
      </c>
      <c r="I1362" s="1" t="s">
        <v>20</v>
      </c>
      <c r="J1362" s="1" t="s">
        <v>6278</v>
      </c>
      <c r="K1362" s="1" t="s">
        <v>22</v>
      </c>
      <c r="L1362" s="1" t="str">
        <f>HYPERLINK("https://files.afu.se/Downloads/Transcripts/0%20-%20Government/USA%20-%20NASA%20Kennedy/2011 07 08 - NASA's Kennedy Space Center - STS-135 Launch Replay  OTV Camera 70_j9xDiEFew5o - transcript (automated).pdf","Transcript Link")</f>
        <v>Transcript Link</v>
      </c>
      <c r="M1362" s="2" t="str">
        <f>HYPERLINK("https://files.afu.se/Downloads/Transcripts/0%20-%20Government/USA%20-%20NASA%20Kennedy/2011 07 08 - NASA's Kennedy Space Center - STS-135 Launch Replay  OTV Camera 70_j9xDiEFew5o - transcript (automated).pdf","Transcript Link")</f>
        <v>Transcript Link</v>
      </c>
    </row>
    <row r="1363" ht="180" spans="1:13">
      <c r="A1363" s="1" t="s">
        <v>6266</v>
      </c>
      <c r="B1363" s="1" t="s">
        <v>13</v>
      </c>
      <c r="C1363" s="4" t="s">
        <v>6279</v>
      </c>
      <c r="D1363" s="1" t="s">
        <v>6280</v>
      </c>
      <c r="E1363" s="1" t="s">
        <v>5710</v>
      </c>
      <c r="F1363" s="4" t="s">
        <v>17</v>
      </c>
      <c r="G1363" s="1" t="s">
        <v>18</v>
      </c>
      <c r="H1363" s="1" t="s">
        <v>19</v>
      </c>
      <c r="I1363" s="1" t="s">
        <v>20</v>
      </c>
      <c r="J1363" s="1" t="s">
        <v>6281</v>
      </c>
      <c r="K1363" s="1" t="s">
        <v>22</v>
      </c>
      <c r="L1363" s="1" t="str">
        <f>HYPERLINK("https://files.afu.se/Downloads/Transcripts/0%20-%20Government/USA%20-%20NASA%20Kennedy/2011 07 08 - NASA's Kennedy Space Center - STS-135 Launch Replay  Camera Site 2 (TV-7A)_Pg5U4pA87yQ - transcript (automated).pdf","Transcript Link")</f>
        <v>Transcript Link</v>
      </c>
      <c r="M1363" s="2" t="str">
        <f>HYPERLINK("https://files.afu.se/Downloads/Transcripts/0%20-%20Government/USA%20-%20NASA%20Kennedy/2011 07 08 - NASA's Kennedy Space Center - STS-135 Launch Replay  Camera Site 2 (TV-7A)_Pg5U4pA87yQ - transcript (automated).pdf","Transcript Link")</f>
        <v>Transcript Link</v>
      </c>
    </row>
    <row r="1364" ht="180" spans="1:13">
      <c r="A1364" s="1" t="s">
        <v>6266</v>
      </c>
      <c r="B1364" s="1" t="s">
        <v>13</v>
      </c>
      <c r="C1364" s="4" t="s">
        <v>6282</v>
      </c>
      <c r="D1364" s="1" t="s">
        <v>6283</v>
      </c>
      <c r="E1364" s="1" t="s">
        <v>5710</v>
      </c>
      <c r="F1364" s="4" t="s">
        <v>17</v>
      </c>
      <c r="G1364" s="1" t="s">
        <v>18</v>
      </c>
      <c r="H1364" s="1" t="s">
        <v>19</v>
      </c>
      <c r="I1364" s="1" t="s">
        <v>20</v>
      </c>
      <c r="J1364" s="1" t="s">
        <v>6284</v>
      </c>
      <c r="K1364" s="1" t="s">
        <v>22</v>
      </c>
      <c r="L1364" s="1" t="str">
        <f>HYPERLINK("https://files.afu.se/Downloads/Transcripts/0%20-%20Government/USA%20-%20NASA%20Kennedy/2011 07 08 - NASA's Kennedy Space Center - STS-135 Launch Replay  VAB Roof (TV-5)_akztqVmxSfk - transcript (automated).pdf","Transcript Link")</f>
        <v>Transcript Link</v>
      </c>
      <c r="M1364" s="2" t="str">
        <f>HYPERLINK("https://files.afu.se/Downloads/Transcripts/0%20-%20Government/USA%20-%20NASA%20Kennedy/2011 07 08 - NASA's Kennedy Space Center - STS-135 Launch Replay  VAB Roof (TV-5)_akztqVmxSfk - transcript (automated).pdf","Transcript Link")</f>
        <v>Transcript Link</v>
      </c>
    </row>
    <row r="1365" ht="180" spans="1:13">
      <c r="A1365" s="1" t="s">
        <v>6266</v>
      </c>
      <c r="B1365" s="1" t="s">
        <v>13</v>
      </c>
      <c r="C1365" s="4" t="s">
        <v>6285</v>
      </c>
      <c r="D1365" s="1" t="s">
        <v>6286</v>
      </c>
      <c r="E1365" s="1" t="s">
        <v>6287</v>
      </c>
      <c r="F1365" s="4" t="s">
        <v>17</v>
      </c>
      <c r="G1365" s="1" t="s">
        <v>18</v>
      </c>
      <c r="H1365" s="1" t="s">
        <v>19</v>
      </c>
      <c r="I1365" s="1" t="s">
        <v>20</v>
      </c>
      <c r="J1365" s="1" t="s">
        <v>6288</v>
      </c>
      <c r="K1365" s="1" t="s">
        <v>22</v>
      </c>
      <c r="L1365" s="1" t="str">
        <f>HYPERLINK("https://files.afu.se/Downloads/Transcripts/0%20-%20Government/USA%20-%20NASA%20Kennedy/2011 07 08 - NASA's Kennedy Space Center - Shuttle Closeout Crew Says Goodbye_ldlphfRuk1Q - transcript (automated).pdf","Transcript Link")</f>
        <v>Transcript Link</v>
      </c>
      <c r="M1365" s="2" t="str">
        <f>HYPERLINK("https://files.afu.se/Downloads/Transcripts/0%20-%20Government/USA%20-%20NASA%20Kennedy/2011 07 08 - NASA's Kennedy Space Center - Shuttle Closeout Crew Says Goodbye_ldlphfRuk1Q - transcript (automated).pdf","Transcript Link")</f>
        <v>Transcript Link</v>
      </c>
    </row>
    <row r="1366" ht="180" spans="1:13">
      <c r="A1366" s="1" t="s">
        <v>6266</v>
      </c>
      <c r="B1366" s="1" t="s">
        <v>13</v>
      </c>
      <c r="C1366" s="4" t="s">
        <v>6289</v>
      </c>
      <c r="D1366" s="1" t="s">
        <v>6290</v>
      </c>
      <c r="E1366" s="1" t="s">
        <v>6291</v>
      </c>
      <c r="F1366" s="4" t="s">
        <v>17</v>
      </c>
      <c r="G1366" s="1" t="s">
        <v>18</v>
      </c>
      <c r="H1366" s="1" t="s">
        <v>19</v>
      </c>
      <c r="I1366" s="1" t="s">
        <v>20</v>
      </c>
      <c r="J1366" s="1" t="s">
        <v>6292</v>
      </c>
      <c r="K1366" s="1" t="s">
        <v>22</v>
      </c>
      <c r="L1366" s="1" t="str">
        <f>HYPERLINK("https://files.afu.se/Downloads/Transcripts/0%20-%20Government/USA%20-%20NASA%20Kennedy/2011 07 08 - NASA's Kennedy Space Center - STS-135 Send-Off_f3e1CsCKUgk - transcript (automated).pdf","Transcript Link")</f>
        <v>Transcript Link</v>
      </c>
      <c r="M1366" s="2" t="str">
        <f>HYPERLINK("https://files.afu.se/Downloads/Transcripts/0%20-%20Government/USA%20-%20NASA%20Kennedy/2011 07 08 - NASA's Kennedy Space Center - STS-135 Send-Off_f3e1CsCKUgk - transcript (automated).pdf","Transcript Link")</f>
        <v>Transcript Link</v>
      </c>
    </row>
    <row r="1367" ht="180" spans="1:13">
      <c r="A1367" s="1" t="s">
        <v>6266</v>
      </c>
      <c r="B1367" s="1" t="s">
        <v>13</v>
      </c>
      <c r="C1367" s="4" t="s">
        <v>6293</v>
      </c>
      <c r="D1367" s="1" t="s">
        <v>6294</v>
      </c>
      <c r="E1367" s="1" t="s">
        <v>6295</v>
      </c>
      <c r="F1367" s="4" t="s">
        <v>17</v>
      </c>
      <c r="G1367" s="1" t="s">
        <v>18</v>
      </c>
      <c r="H1367" s="1" t="s">
        <v>19</v>
      </c>
      <c r="I1367" s="1" t="s">
        <v>20</v>
      </c>
      <c r="J1367" s="1" t="s">
        <v>6296</v>
      </c>
      <c r="K1367" s="1" t="s">
        <v>22</v>
      </c>
      <c r="L1367" s="1" t="str">
        <f>HYPERLINK("https://files.afu.se/Downloads/Transcripts/0%20-%20Government/USA%20-%20NASA%20Kennedy/2011 07 08 - NASA's Kennedy Space Center - STS-135 Space Shuttle Launch_7aKYeRSYLB0 - transcript (automated).pdf","Transcript Link")</f>
        <v>Transcript Link</v>
      </c>
      <c r="M1367" s="2" t="str">
        <f>HYPERLINK("https://files.afu.se/Downloads/Transcripts/0%20-%20Government/USA%20-%20NASA%20Kennedy/2011 07 08 - NASA's Kennedy Space Center - STS-135 Space Shuttle Launch_7aKYeRSYLB0 - transcript (automated).pdf","Transcript Link")</f>
        <v>Transcript Link</v>
      </c>
    </row>
    <row r="1368" ht="180" spans="1:13">
      <c r="A1368" s="1" t="s">
        <v>6266</v>
      </c>
      <c r="B1368" s="1" t="s">
        <v>13</v>
      </c>
      <c r="C1368" s="4" t="s">
        <v>6297</v>
      </c>
      <c r="D1368" s="1" t="s">
        <v>6298</v>
      </c>
      <c r="E1368" s="1" t="s">
        <v>6299</v>
      </c>
      <c r="F1368" s="4" t="s">
        <v>17</v>
      </c>
      <c r="G1368" s="1" t="s">
        <v>18</v>
      </c>
      <c r="H1368" s="1" t="s">
        <v>19</v>
      </c>
      <c r="I1368" s="1" t="s">
        <v>20</v>
      </c>
      <c r="J1368" s="1" t="s">
        <v>6300</v>
      </c>
      <c r="K1368" s="1" t="s">
        <v>22</v>
      </c>
      <c r="L1368" s="1" t="str">
        <f>HYPERLINK("https://files.afu.se/Downloads/Transcripts/0%20-%20Government/USA%20-%20NASA%20Kennedy/2011 07 08 - NASA's Kennedy Space Center - STS-135 Astronauts Strap into Space Shuttle Atlantis for Launch_1EOPPM5bfGc - transcript (automated).pdf","Transcript Link")</f>
        <v>Transcript Link</v>
      </c>
      <c r="M1368" s="2" t="str">
        <f>HYPERLINK("https://files.afu.se/Downloads/Transcripts/0%20-%20Government/USA%20-%20NASA%20Kennedy/2011 07 08 - NASA's Kennedy Space Center - STS-135 Astronauts Strap into Space Shuttle Atlantis for Launch_1EOPPM5bfGc - transcript (automated).pdf","Transcript Link")</f>
        <v>Transcript Link</v>
      </c>
    </row>
    <row r="1369" ht="180" spans="1:13">
      <c r="A1369" s="1" t="s">
        <v>6266</v>
      </c>
      <c r="B1369" s="1" t="s">
        <v>13</v>
      </c>
      <c r="C1369" s="4" t="s">
        <v>6301</v>
      </c>
      <c r="D1369" s="1" t="s">
        <v>6302</v>
      </c>
      <c r="E1369" s="1" t="s">
        <v>6303</v>
      </c>
      <c r="F1369" s="4" t="s">
        <v>17</v>
      </c>
      <c r="G1369" s="1" t="s">
        <v>18</v>
      </c>
      <c r="H1369" s="1" t="s">
        <v>19</v>
      </c>
      <c r="I1369" s="1" t="s">
        <v>20</v>
      </c>
      <c r="J1369" s="1" t="s">
        <v>6304</v>
      </c>
      <c r="K1369" s="1" t="s">
        <v>22</v>
      </c>
      <c r="L1369" s="1" t="str">
        <f>HYPERLINK("https://files.afu.se/Downloads/Transcripts/0%20-%20Government/USA%20-%20NASA%20Kennedy/2011 07 08 - NASA's Kennedy Space Center - STS-135 Crew Suitup and Walkout_diYnjymyruM - transcript (automated).pdf","Transcript Link")</f>
        <v>Transcript Link</v>
      </c>
      <c r="M1369" s="2" t="str">
        <f>HYPERLINK("https://files.afu.se/Downloads/Transcripts/0%20-%20Government/USA%20-%20NASA%20Kennedy/2011 07 08 - NASA's Kennedy Space Center - STS-135 Crew Suitup and Walkout_diYnjymyruM - transcript (automated).pdf","Transcript Link")</f>
        <v>Transcript Link</v>
      </c>
    </row>
    <row r="1370" ht="180" spans="1:13">
      <c r="A1370" s="1" t="s">
        <v>6266</v>
      </c>
      <c r="B1370" s="1" t="s">
        <v>13</v>
      </c>
      <c r="C1370" s="4" t="s">
        <v>6305</v>
      </c>
      <c r="D1370" s="1" t="s">
        <v>6306</v>
      </c>
      <c r="E1370" s="1" t="s">
        <v>6307</v>
      </c>
      <c r="F1370" s="4" t="s">
        <v>17</v>
      </c>
      <c r="G1370" s="1" t="s">
        <v>18</v>
      </c>
      <c r="H1370" s="1" t="s">
        <v>19</v>
      </c>
      <c r="I1370" s="1" t="s">
        <v>20</v>
      </c>
      <c r="J1370" s="1" t="s">
        <v>6308</v>
      </c>
      <c r="K1370" s="1" t="s">
        <v>22</v>
      </c>
      <c r="L1370" s="1" t="str">
        <f>HYPERLINK("https://files.afu.se/Downloads/Transcripts/0%20-%20Government/USA%20-%20NASA%20Kennedy/2011 07 08 - NASA's Kennedy Space Center - Flyout  Launch Weather Forecasting_vE441pjBF7o - transcript (automated).pdf","Transcript Link")</f>
        <v>Transcript Link</v>
      </c>
      <c r="M1370" s="2" t="str">
        <f>HYPERLINK("https://files.afu.se/Downloads/Transcripts/0%20-%20Government/USA%20-%20NASA%20Kennedy/2011 07 08 - NASA's Kennedy Space Center - Flyout  Launch Weather Forecasting_vE441pjBF7o - transcript (automated).pdf","Transcript Link")</f>
        <v>Transcript Link</v>
      </c>
    </row>
    <row r="1371" ht="180" spans="1:13">
      <c r="A1371" s="1" t="s">
        <v>6266</v>
      </c>
      <c r="B1371" s="1" t="s">
        <v>13</v>
      </c>
      <c r="C1371" s="4" t="s">
        <v>6309</v>
      </c>
      <c r="D1371" s="1" t="s">
        <v>6310</v>
      </c>
      <c r="E1371" s="1" t="s">
        <v>6311</v>
      </c>
      <c r="F1371" s="4" t="s">
        <v>17</v>
      </c>
      <c r="G1371" s="1" t="s">
        <v>18</v>
      </c>
      <c r="H1371" s="1" t="s">
        <v>19</v>
      </c>
      <c r="I1371" s="1" t="s">
        <v>20</v>
      </c>
      <c r="J1371" s="1" t="s">
        <v>6312</v>
      </c>
      <c r="K1371" s="1" t="s">
        <v>22</v>
      </c>
      <c r="L1371" s="1" t="str">
        <f>HYPERLINK("https://files.afu.se/Downloads/Transcripts/0%20-%20Government/USA%20-%20NASA%20Kennedy/2011 07 08 - NASA's Kennedy Space Center - STS-135 - Introduction to Launch Commentary_4NrUsIKtRG8 - transcript (automated).pdf","Transcript Link")</f>
        <v>Transcript Link</v>
      </c>
      <c r="M1371" s="2" t="str">
        <f>HYPERLINK("https://files.afu.se/Downloads/Transcripts/0%20-%20Government/USA%20-%20NASA%20Kennedy/2011 07 08 - NASA's Kennedy Space Center - STS-135 - Introduction to Launch Commentary_4NrUsIKtRG8 - transcript (automated).pdf","Transcript Link")</f>
        <v>Transcript Link</v>
      </c>
    </row>
    <row r="1372" ht="240" spans="1:13">
      <c r="A1372" s="1" t="s">
        <v>6313</v>
      </c>
      <c r="B1372" s="1" t="s">
        <v>13</v>
      </c>
      <c r="C1372" s="4" t="s">
        <v>6314</v>
      </c>
      <c r="D1372" s="1" t="s">
        <v>6315</v>
      </c>
      <c r="E1372" s="1" t="s">
        <v>6316</v>
      </c>
      <c r="F1372" s="4" t="s">
        <v>17</v>
      </c>
      <c r="G1372" s="1" t="s">
        <v>18</v>
      </c>
      <c r="H1372" s="1" t="s">
        <v>19</v>
      </c>
      <c r="I1372" s="1" t="s">
        <v>20</v>
      </c>
      <c r="J1372" s="1" t="s">
        <v>6317</v>
      </c>
      <c r="K1372" s="1" t="s">
        <v>22</v>
      </c>
      <c r="L1372" s="1" t="str">
        <f>HYPERLINK("https://files.afu.se/Downloads/Transcripts/0%20-%20Government/USA%20-%20NASA%20Kennedy/2011 07 07 - NASA's Kennedy Space Center - STS-135 Launch Pad Lightning Strike_T_VJUeXS6F4 - transcript (automated).pdf","Transcript Link")</f>
        <v>Transcript Link</v>
      </c>
      <c r="M1372" s="2" t="str">
        <f>HYPERLINK("https://files.afu.se/Downloads/Transcripts/0%20-%20Government/USA%20-%20NASA%20Kennedy/2011 07 07 - NASA's Kennedy Space Center - STS-135 Launch Pad Lightning Strike_T_VJUeXS6F4 - transcript (automated).pdf","Transcript Link")</f>
        <v>Transcript Link</v>
      </c>
    </row>
    <row r="1373" ht="180" spans="1:13">
      <c r="A1373" s="1" t="s">
        <v>6313</v>
      </c>
      <c r="B1373" s="1" t="s">
        <v>13</v>
      </c>
      <c r="C1373" s="4" t="s">
        <v>6318</v>
      </c>
      <c r="D1373" s="1" t="s">
        <v>6319</v>
      </c>
      <c r="E1373" s="1" t="s">
        <v>5710</v>
      </c>
      <c r="F1373" s="4" t="s">
        <v>17</v>
      </c>
      <c r="G1373" s="1" t="s">
        <v>18</v>
      </c>
      <c r="H1373" s="1" t="s">
        <v>19</v>
      </c>
      <c r="I1373" s="1" t="s">
        <v>20</v>
      </c>
      <c r="J1373" s="1" t="s">
        <v>6320</v>
      </c>
      <c r="K1373" s="1" t="s">
        <v>22</v>
      </c>
      <c r="L1373" s="1" t="str">
        <f>HYPERLINK("https://files.afu.se/Downloads/Transcripts/0%20-%20Government/USA%20-%20NASA%20Kennedy/2011 07 07 - NASA's Kennedy Space Center - In Their Own Words  Rex Walheim_396sRuzVrHQ - transcript (automated).pdf","Transcript Link")</f>
        <v>Transcript Link</v>
      </c>
      <c r="M1373" s="2" t="str">
        <f>HYPERLINK("https://files.afu.se/Downloads/Transcripts/0%20-%20Government/USA%20-%20NASA%20Kennedy/2011 07 07 - NASA's Kennedy Space Center - In Their Own Words  Rex Walheim_396sRuzVrHQ - transcript (automated).pdf","Transcript Link")</f>
        <v>Transcript Link</v>
      </c>
    </row>
    <row r="1374" ht="195" spans="1:13">
      <c r="A1374" s="1" t="s">
        <v>6321</v>
      </c>
      <c r="B1374" s="1" t="s">
        <v>13</v>
      </c>
      <c r="C1374" s="4" t="s">
        <v>6322</v>
      </c>
      <c r="D1374" s="1" t="s">
        <v>6323</v>
      </c>
      <c r="E1374" s="1" t="s">
        <v>6324</v>
      </c>
      <c r="F1374" s="4" t="s">
        <v>17</v>
      </c>
      <c r="G1374" s="1" t="s">
        <v>18</v>
      </c>
      <c r="H1374" s="1" t="s">
        <v>19</v>
      </c>
      <c r="I1374" s="1" t="s">
        <v>20</v>
      </c>
      <c r="J1374" s="1" t="s">
        <v>6325</v>
      </c>
      <c r="K1374" s="1" t="s">
        <v>22</v>
      </c>
      <c r="L1374" s="1" t="str">
        <f>HYPERLINK("https://files.afu.se/Downloads/Transcripts/0%20-%20Government/USA%20-%20NASA%20Kennedy/2011 07 06 - NASA's Kennedy Space Center - STS-135 - The Final Shuttle Mission_HZYysEnvYO4 - transcript (automated).pdf","Transcript Link")</f>
        <v>Transcript Link</v>
      </c>
      <c r="M1374" s="2" t="str">
        <f>HYPERLINK("https://files.afu.se/Downloads/Transcripts/0%20-%20Government/USA%20-%20NASA%20Kennedy/2011 07 06 - NASA's Kennedy Space Center - STS-135 - The Final Shuttle Mission_HZYysEnvYO4 - transcript (automated).pdf","Transcript Link")</f>
        <v>Transcript Link</v>
      </c>
    </row>
    <row r="1375" ht="180" spans="1:13">
      <c r="A1375" s="1" t="s">
        <v>6326</v>
      </c>
      <c r="B1375" s="1" t="s">
        <v>13</v>
      </c>
      <c r="C1375" s="4" t="s">
        <v>6327</v>
      </c>
      <c r="D1375" s="1" t="s">
        <v>6328</v>
      </c>
      <c r="E1375" s="1" t="s">
        <v>6329</v>
      </c>
      <c r="F1375" s="4" t="s">
        <v>17</v>
      </c>
      <c r="G1375" s="1" t="s">
        <v>18</v>
      </c>
      <c r="H1375" s="1" t="s">
        <v>19</v>
      </c>
      <c r="I1375" s="1" t="s">
        <v>20</v>
      </c>
      <c r="J1375" s="1" t="s">
        <v>6330</v>
      </c>
      <c r="K1375" s="1" t="s">
        <v>22</v>
      </c>
      <c r="L1375" s="1" t="str">
        <f>HYPERLINK("https://files.afu.se/Downloads/Transcripts/0%20-%20Government/USA%20-%20NASA%20Kennedy/2011 07 05 - NASA's Kennedy Space Center - In Their Own Words  Astronaut Chris Ferguson_snfY5CZ3-Jw - transcript (automated).pdf","Transcript Link")</f>
        <v>Transcript Link</v>
      </c>
      <c r="M1375" s="2" t="str">
        <f>HYPERLINK("https://files.afu.se/Downloads/Transcripts/0%20-%20Government/USA%20-%20NASA%20Kennedy/2011 07 05 - NASA's Kennedy Space Center - In Their Own Words  Astronaut Chris Ferguson_snfY5CZ3-Jw - transcript (automated).pdf","Transcript Link")</f>
        <v>Transcript Link</v>
      </c>
    </row>
    <row r="1376" ht="180" spans="1:13">
      <c r="A1376" s="1" t="s">
        <v>6331</v>
      </c>
      <c r="B1376" s="1" t="s">
        <v>13</v>
      </c>
      <c r="C1376" s="4" t="s">
        <v>6332</v>
      </c>
      <c r="D1376" s="1" t="s">
        <v>6333</v>
      </c>
      <c r="E1376" s="1" t="s">
        <v>6334</v>
      </c>
      <c r="F1376" s="4" t="s">
        <v>17</v>
      </c>
      <c r="G1376" s="1" t="s">
        <v>18</v>
      </c>
      <c r="H1376" s="1" t="s">
        <v>19</v>
      </c>
      <c r="I1376" s="1" t="s">
        <v>20</v>
      </c>
      <c r="J1376" s="1" t="s">
        <v>6335</v>
      </c>
      <c r="K1376" s="1" t="s">
        <v>22</v>
      </c>
      <c r="L1376" s="1" t="str">
        <f>HYPERLINK("https://files.afu.se/Downloads/Transcripts/0%20-%20Government/USA%20-%20NASA%20Kennedy/2011 07 04 - NASA's Kennedy Space Center - Space Shuttle Era  Imagery_D_osz0XyRaY - transcript (automated).pdf","Transcript Link")</f>
        <v>Transcript Link</v>
      </c>
      <c r="M1376" s="2" t="str">
        <f>HYPERLINK("https://files.afu.se/Downloads/Transcripts/0%20-%20Government/USA%20-%20NASA%20Kennedy/2011 07 04 - NASA's Kennedy Space Center - Space Shuttle Era  Imagery_D_osz0XyRaY - transcript (automated).pdf","Transcript Link")</f>
        <v>Transcript Link</v>
      </c>
    </row>
    <row r="1377" ht="180" spans="1:13">
      <c r="A1377" s="1" t="s">
        <v>6336</v>
      </c>
      <c r="B1377" s="1" t="s">
        <v>13</v>
      </c>
      <c r="C1377" s="4" t="s">
        <v>6337</v>
      </c>
      <c r="D1377" s="1" t="s">
        <v>6338</v>
      </c>
      <c r="E1377" s="1" t="s">
        <v>6339</v>
      </c>
      <c r="F1377" s="4" t="s">
        <v>17</v>
      </c>
      <c r="G1377" s="1" t="s">
        <v>18</v>
      </c>
      <c r="H1377" s="1" t="s">
        <v>19</v>
      </c>
      <c r="I1377" s="1" t="s">
        <v>20</v>
      </c>
      <c r="J1377" s="1" t="s">
        <v>6340</v>
      </c>
      <c r="K1377" s="1" t="s">
        <v>22</v>
      </c>
      <c r="L1377" s="1" t="str">
        <f>HYPERLINK("https://files.afu.se/Downloads/Transcripts/0%20-%20Government/USA%20-%20NASA%20Kennedy/2011 06 28 - NASA's Kennedy Space Center - In Their Own Words  STS-135 Astronaut Doug Hurley_2mK5BLoYlBU - transcript (automated).pdf","Transcript Link")</f>
        <v>Transcript Link</v>
      </c>
      <c r="M1377" s="2" t="str">
        <f>HYPERLINK("https://files.afu.se/Downloads/Transcripts/0%20-%20Government/USA%20-%20NASA%20Kennedy/2011 06 28 - NASA's Kennedy Space Center - In Their Own Words  STS-135 Astronaut Doug Hurley_2mK5BLoYlBU - transcript (automated).pdf","Transcript Link")</f>
        <v>Transcript Link</v>
      </c>
    </row>
    <row r="1378" ht="180" spans="1:13">
      <c r="A1378" s="1" t="s">
        <v>6336</v>
      </c>
      <c r="B1378" s="1" t="s">
        <v>13</v>
      </c>
      <c r="C1378" s="4" t="s">
        <v>6341</v>
      </c>
      <c r="D1378" s="1" t="s">
        <v>6342</v>
      </c>
      <c r="E1378" s="1" t="s">
        <v>6343</v>
      </c>
      <c r="F1378" s="4" t="s">
        <v>17</v>
      </c>
      <c r="G1378" s="1" t="s">
        <v>18</v>
      </c>
      <c r="H1378" s="1" t="s">
        <v>19</v>
      </c>
      <c r="I1378" s="1" t="s">
        <v>20</v>
      </c>
      <c r="J1378" s="1" t="s">
        <v>6344</v>
      </c>
      <c r="K1378" s="1" t="s">
        <v>22</v>
      </c>
      <c r="L1378" s="1" t="str">
        <f>HYPERLINK("https://files.afu.se/Downloads/Transcripts/0%20-%20Government/USA%20-%20NASA%20Kennedy/2011 06 28 - NASA's Kennedy Space Center - In Their Owns Words  STS-135 Crew_NpYaF4tb8k4 - transcript (automated).pdf","Transcript Link")</f>
        <v>Transcript Link</v>
      </c>
      <c r="M1378" s="2" t="str">
        <f>HYPERLINK("https://files.afu.se/Downloads/Transcripts/0%20-%20Government/USA%20-%20NASA%20Kennedy/2011 06 28 - NASA's Kennedy Space Center - In Their Owns Words  STS-135 Crew_NpYaF4tb8k4 - transcript (automated).pdf","Transcript Link")</f>
        <v>Transcript Link</v>
      </c>
    </row>
    <row r="1379" ht="270" spans="1:13">
      <c r="A1379" s="1" t="s">
        <v>6345</v>
      </c>
      <c r="B1379" s="1" t="s">
        <v>13</v>
      </c>
      <c r="C1379" s="4" t="s">
        <v>6346</v>
      </c>
      <c r="D1379" s="1" t="s">
        <v>6347</v>
      </c>
      <c r="E1379" s="1" t="s">
        <v>6348</v>
      </c>
      <c r="F1379" s="4" t="s">
        <v>17</v>
      </c>
      <c r="G1379" s="1" t="s">
        <v>18</v>
      </c>
      <c r="H1379" s="1" t="s">
        <v>19</v>
      </c>
      <c r="I1379" s="1" t="s">
        <v>20</v>
      </c>
      <c r="J1379" s="1" t="s">
        <v>6349</v>
      </c>
      <c r="K1379" s="1" t="s">
        <v>22</v>
      </c>
      <c r="L1379" s="1" t="str">
        <f>HYPERLINK("https://files.afu.se/Downloads/Transcripts/0%20-%20Government/USA%20-%20NASA%20Kennedy/2011 06 24 - NASA's Kennedy Space Center - STS-135 Crew Rehearses Final Mission_VvDyITqm3U4 - transcript (automated).pdf","Transcript Link")</f>
        <v>Transcript Link</v>
      </c>
      <c r="M1379" s="2" t="str">
        <f>HYPERLINK("https://files.afu.se/Downloads/Transcripts/0%20-%20Government/USA%20-%20NASA%20Kennedy/2011 06 24 - NASA's Kennedy Space Center - STS-135 Crew Rehearses Final Mission_VvDyITqm3U4 - transcript (automated).pdf","Transcript Link")</f>
        <v>Transcript Link</v>
      </c>
    </row>
    <row r="1380" ht="180" spans="1:13">
      <c r="A1380" s="1" t="s">
        <v>6350</v>
      </c>
      <c r="B1380" s="1" t="s">
        <v>13</v>
      </c>
      <c r="C1380" s="4" t="s">
        <v>6351</v>
      </c>
      <c r="D1380" s="1" t="s">
        <v>6352</v>
      </c>
      <c r="E1380" s="1" t="s">
        <v>6353</v>
      </c>
      <c r="F1380" s="4" t="s">
        <v>17</v>
      </c>
      <c r="G1380" s="1" t="s">
        <v>18</v>
      </c>
      <c r="H1380" s="1" t="s">
        <v>19</v>
      </c>
      <c r="I1380" s="1" t="s">
        <v>20</v>
      </c>
      <c r="J1380" s="1" t="s">
        <v>6354</v>
      </c>
      <c r="K1380" s="1" t="s">
        <v>22</v>
      </c>
      <c r="L1380" s="1" t="str">
        <f>HYPERLINK("https://files.afu.se/Downloads/Transcripts/0%20-%20Government/USA%20-%20NASA%20Kennedy/2011 06 23 - NASA's Kennedy Space Center - In Their Own Words  Astronaut Sandy Magnus_tQa_Wzu9GH4 - transcript (automated).pdf","Transcript Link")</f>
        <v>Transcript Link</v>
      </c>
      <c r="M1380" s="2" t="str">
        <f>HYPERLINK("https://files.afu.se/Downloads/Transcripts/0%20-%20Government/USA%20-%20NASA%20Kennedy/2011 06 23 - NASA's Kennedy Space Center - In Their Own Words  Astronaut Sandy Magnus_tQa_Wzu9GH4 - transcript (automated).pdf","Transcript Link")</f>
        <v>Transcript Link</v>
      </c>
    </row>
    <row r="1381" ht="180" spans="1:13">
      <c r="A1381" s="1" t="s">
        <v>6355</v>
      </c>
      <c r="B1381" s="1" t="s">
        <v>13</v>
      </c>
      <c r="C1381" s="4" t="s">
        <v>6356</v>
      </c>
      <c r="D1381" s="1" t="s">
        <v>6357</v>
      </c>
      <c r="E1381" s="1" t="s">
        <v>6358</v>
      </c>
      <c r="F1381" s="4" t="s">
        <v>17</v>
      </c>
      <c r="G1381" s="1" t="s">
        <v>18</v>
      </c>
      <c r="H1381" s="1" t="s">
        <v>19</v>
      </c>
      <c r="I1381" s="1" t="s">
        <v>20</v>
      </c>
      <c r="J1381" s="1" t="s">
        <v>6359</v>
      </c>
      <c r="K1381" s="1" t="s">
        <v>22</v>
      </c>
      <c r="L1381" s="1" t="str">
        <f>HYPERLINK("https://files.afu.se/Downloads/Transcripts/0%20-%20Government/USA%20-%20NASA%20Kennedy/2011 06 17 - NASA's Kennedy Space Center - In Their Own Words  Astronaut Mike Barratt_fVnSGLoqbOM - transcript (automated).pdf","Transcript Link")</f>
        <v>Transcript Link</v>
      </c>
      <c r="M1381" s="2" t="str">
        <f>HYPERLINK("https://files.afu.se/Downloads/Transcripts/0%20-%20Government/USA%20-%20NASA%20Kennedy/2011 06 17 - NASA's Kennedy Space Center - In Their Own Words  Astronaut Mike Barratt_fVnSGLoqbOM - transcript (automated).pdf","Transcript Link")</f>
        <v>Transcript Link</v>
      </c>
    </row>
    <row r="1382" ht="195" spans="1:13">
      <c r="A1382" s="1" t="s">
        <v>6360</v>
      </c>
      <c r="B1382" s="1" t="s">
        <v>13</v>
      </c>
      <c r="C1382" s="4" t="s">
        <v>6361</v>
      </c>
      <c r="D1382" s="1" t="s">
        <v>6362</v>
      </c>
      <c r="E1382" s="1" t="s">
        <v>6363</v>
      </c>
      <c r="F1382" s="4" t="s">
        <v>17</v>
      </c>
      <c r="G1382" s="1" t="s">
        <v>18</v>
      </c>
      <c r="H1382" s="1" t="s">
        <v>19</v>
      </c>
      <c r="I1382" s="1" t="s">
        <v>20</v>
      </c>
      <c r="J1382" s="1" t="s">
        <v>6364</v>
      </c>
      <c r="K1382" s="1" t="s">
        <v>22</v>
      </c>
      <c r="L1382" s="1" t="str">
        <f>HYPERLINK("https://files.afu.se/Downloads/Transcripts/0%20-%20Government/USA%20-%20NASA%20Kennedy/2011 06 15 - NASA's Kennedy Space Center - Aquarius Tower Rollback_isUrYV8tHok - transcript (automated).pdf","Transcript Link")</f>
        <v>Transcript Link</v>
      </c>
      <c r="M1382" s="2" t="str">
        <f>HYPERLINK("https://files.afu.se/Downloads/Transcripts/0%20-%20Government/USA%20-%20NASA%20Kennedy/2011 06 15 - NASA's Kennedy Space Center - Aquarius Tower Rollback_isUrYV8tHok - transcript (automated).pdf","Transcript Link")</f>
        <v>Transcript Link</v>
      </c>
    </row>
    <row r="1383" ht="180" spans="1:13">
      <c r="A1383" s="1" t="s">
        <v>6360</v>
      </c>
      <c r="B1383" s="1" t="s">
        <v>13</v>
      </c>
      <c r="C1383" s="4" t="s">
        <v>6365</v>
      </c>
      <c r="D1383" s="1" t="s">
        <v>6366</v>
      </c>
      <c r="E1383" s="1" t="s">
        <v>6367</v>
      </c>
      <c r="F1383" s="4" t="s">
        <v>17</v>
      </c>
      <c r="G1383" s="1" t="s">
        <v>18</v>
      </c>
      <c r="H1383" s="1" t="s">
        <v>19</v>
      </c>
      <c r="I1383" s="1" t="s">
        <v>20</v>
      </c>
      <c r="J1383" s="1" t="s">
        <v>6368</v>
      </c>
      <c r="K1383" s="1" t="s">
        <v>22</v>
      </c>
      <c r="L1383" s="1" t="str">
        <f>HYPERLINK("https://files.afu.se/Downloads/Transcripts/0%20-%20Government/USA%20-%20NASA%20Kennedy/2011 06 15 - NASA's Kennedy Space Center - Aquarius Spacecraft and Vehicle Flow_K1TfaVRkSAw - transcript (automated).pdf","Transcript Link")</f>
        <v>Transcript Link</v>
      </c>
      <c r="M1383" s="2" t="str">
        <f>HYPERLINK("https://files.afu.se/Downloads/Transcripts/0%20-%20Government/USA%20-%20NASA%20Kennedy/2011 06 15 - NASA's Kennedy Space Center - Aquarius Spacecraft and Vehicle Flow_K1TfaVRkSAw - transcript (automated).pdf","Transcript Link")</f>
        <v>Transcript Link</v>
      </c>
    </row>
    <row r="1384" ht="180" spans="1:13">
      <c r="A1384" s="1" t="s">
        <v>6369</v>
      </c>
      <c r="B1384" s="1" t="s">
        <v>13</v>
      </c>
      <c r="C1384" s="4" t="s">
        <v>6370</v>
      </c>
      <c r="D1384" s="1" t="s">
        <v>6371</v>
      </c>
      <c r="E1384" s="1" t="s">
        <v>6372</v>
      </c>
      <c r="F1384" s="4" t="s">
        <v>17</v>
      </c>
      <c r="G1384" s="1" t="s">
        <v>18</v>
      </c>
      <c r="H1384" s="1" t="s">
        <v>19</v>
      </c>
      <c r="I1384" s="1" t="s">
        <v>20</v>
      </c>
      <c r="J1384" s="1" t="s">
        <v>6373</v>
      </c>
      <c r="K1384" s="1" t="s">
        <v>22</v>
      </c>
      <c r="L1384" s="1" t="str">
        <f>HYPERLINK("https://files.afu.se/Downloads/Transcripts/0%20-%20Government/USA%20-%20NASA%20Kennedy/2011 06 14 - NASA's Kennedy Space Center - In Their Own Words  Steve Swanson_iGdH9btHvZw - transcript (automated).pdf","Transcript Link")</f>
        <v>Transcript Link</v>
      </c>
      <c r="M1384" s="2" t="str">
        <f>HYPERLINK("https://files.afu.se/Downloads/Transcripts/0%20-%20Government/USA%20-%20NASA%20Kennedy/2011 06 14 - NASA's Kennedy Space Center - In Their Own Words  Steve Swanson_iGdH9btHvZw - transcript (automated).pdf","Transcript Link")</f>
        <v>Transcript Link</v>
      </c>
    </row>
    <row r="1385" ht="180" spans="1:13">
      <c r="A1385" s="1" t="s">
        <v>6374</v>
      </c>
      <c r="B1385" s="1" t="s">
        <v>13</v>
      </c>
      <c r="C1385" s="4" t="s">
        <v>6375</v>
      </c>
      <c r="D1385" s="1" t="s">
        <v>6376</v>
      </c>
      <c r="E1385" s="1" t="s">
        <v>6377</v>
      </c>
      <c r="F1385" s="4" t="s">
        <v>17</v>
      </c>
      <c r="G1385" s="1" t="s">
        <v>18</v>
      </c>
      <c r="H1385" s="1" t="s">
        <v>19</v>
      </c>
      <c r="I1385" s="1" t="s">
        <v>20</v>
      </c>
      <c r="J1385" s="1" t="s">
        <v>6378</v>
      </c>
      <c r="K1385" s="1" t="s">
        <v>22</v>
      </c>
      <c r="L1385" s="1" t="str">
        <f>HYPERLINK("https://files.afu.se/Downloads/Transcripts/0%20-%20Government/USA%20-%20NASA%20Kennedy/2011 06 10 - NASA's Kennedy Space Center - Aquarius Launch Coverage  Spacecraft Separation_sYHh8C8Kcrk - transcript (automated).pdf","Transcript Link")</f>
        <v>Transcript Link</v>
      </c>
      <c r="M1385" s="2" t="str">
        <f>HYPERLINK("https://files.afu.se/Downloads/Transcripts/0%20-%20Government/USA%20-%20NASA%20Kennedy/2011 06 10 - NASA's Kennedy Space Center - Aquarius Launch Coverage  Spacecraft Separation_sYHh8C8Kcrk - transcript (automated).pdf","Transcript Link")</f>
        <v>Transcript Link</v>
      </c>
    </row>
    <row r="1386" ht="180" spans="1:13">
      <c r="A1386" s="1" t="s">
        <v>6374</v>
      </c>
      <c r="B1386" s="1" t="s">
        <v>13</v>
      </c>
      <c r="C1386" s="4" t="s">
        <v>6379</v>
      </c>
      <c r="D1386" s="1" t="s">
        <v>6380</v>
      </c>
      <c r="E1386" s="1" t="s">
        <v>6381</v>
      </c>
      <c r="F1386" s="4" t="s">
        <v>17</v>
      </c>
      <c r="G1386" s="1" t="s">
        <v>18</v>
      </c>
      <c r="H1386" s="1" t="s">
        <v>19</v>
      </c>
      <c r="I1386" s="1" t="s">
        <v>20</v>
      </c>
      <c r="J1386" s="1" t="s">
        <v>6382</v>
      </c>
      <c r="K1386" s="1" t="s">
        <v>22</v>
      </c>
      <c r="L1386" s="1" t="str">
        <f>HYPERLINK("https://files.afu.se/Downloads/Transcripts/0%20-%20Government/USA%20-%20NASA%20Kennedy/2011 06 10 - NASA's Kennedy Space Center - Aquarius Launch Coverage  Launch Recap Commentary_knRseQgkUTs - transcript (automated).pdf","Transcript Link")</f>
        <v>Transcript Link</v>
      </c>
      <c r="M1386" s="2" t="str">
        <f>HYPERLINK("https://files.afu.se/Downloads/Transcripts/0%20-%20Government/USA%20-%20NASA%20Kennedy/2011 06 10 - NASA's Kennedy Space Center - Aquarius Launch Coverage  Launch Recap Commentary_knRseQgkUTs - transcript (automated).pdf","Transcript Link")</f>
        <v>Transcript Link</v>
      </c>
    </row>
    <row r="1387" ht="180" spans="1:13">
      <c r="A1387" s="1" t="s">
        <v>6374</v>
      </c>
      <c r="B1387" s="1" t="s">
        <v>13</v>
      </c>
      <c r="C1387" s="4" t="s">
        <v>6383</v>
      </c>
      <c r="D1387" s="1" t="s">
        <v>6384</v>
      </c>
      <c r="E1387" s="1" t="s">
        <v>5710</v>
      </c>
      <c r="F1387" s="4" t="s">
        <v>17</v>
      </c>
      <c r="G1387" s="1" t="s">
        <v>18</v>
      </c>
      <c r="H1387" s="1" t="s">
        <v>19</v>
      </c>
      <c r="I1387" s="1" t="s">
        <v>20</v>
      </c>
      <c r="J1387" s="1" t="s">
        <v>6385</v>
      </c>
      <c r="K1387" s="1" t="s">
        <v>22</v>
      </c>
      <c r="L1387" s="1" t="str">
        <f>HYPERLINK("https://files.afu.se/Downloads/Transcripts/0%20-%20Government/USA%20-%20NASA%20Kennedy/2011 06 10 - NASA's Kennedy Space Center - STS-134 Mission Recap_GP1feycsEh8 - transcript (automated).pdf","Transcript Link")</f>
        <v>Transcript Link</v>
      </c>
      <c r="M1387" s="2" t="str">
        <f>HYPERLINK("https://files.afu.se/Downloads/Transcripts/0%20-%20Government/USA%20-%20NASA%20Kennedy/2011 06 10 - NASA's Kennedy Space Center - STS-134 Mission Recap_GP1feycsEh8 - transcript (automated).pdf","Transcript Link")</f>
        <v>Transcript Link</v>
      </c>
    </row>
    <row r="1388" ht="180" spans="1:13">
      <c r="A1388" s="1" t="s">
        <v>6374</v>
      </c>
      <c r="B1388" s="1" t="s">
        <v>13</v>
      </c>
      <c r="C1388" s="4" t="s">
        <v>6386</v>
      </c>
      <c r="D1388" s="1" t="s">
        <v>6387</v>
      </c>
      <c r="E1388" s="1" t="s">
        <v>6388</v>
      </c>
      <c r="F1388" s="4" t="s">
        <v>17</v>
      </c>
      <c r="G1388" s="1" t="s">
        <v>18</v>
      </c>
      <c r="H1388" s="1" t="s">
        <v>19</v>
      </c>
      <c r="I1388" s="1" t="s">
        <v>20</v>
      </c>
      <c r="J1388" s="1" t="s">
        <v>6389</v>
      </c>
      <c r="K1388" s="1" t="s">
        <v>22</v>
      </c>
      <c r="L1388" s="1" t="str">
        <f>HYPERLINK("https://files.afu.se/Downloads/Transcripts/0%20-%20Government/USA%20-%20NASA%20Kennedy/2011 06 10 - NASA's Kennedy Space Center - Launch Readiness Poll for the launch of Aquarius_x8gYFVQ054k - transcript (automated).pdf","Transcript Link")</f>
        <v>Transcript Link</v>
      </c>
      <c r="M1388" s="2" t="str">
        <f>HYPERLINK("https://files.afu.se/Downloads/Transcripts/0%20-%20Government/USA%20-%20NASA%20Kennedy/2011 06 10 - NASA's Kennedy Space Center - Launch Readiness Poll for the launch of Aquarius_x8gYFVQ054k - transcript (automated).pdf","Transcript Link")</f>
        <v>Transcript Link</v>
      </c>
    </row>
    <row r="1389" ht="180" spans="1:13">
      <c r="A1389" s="1" t="s">
        <v>6374</v>
      </c>
      <c r="B1389" s="1" t="s">
        <v>13</v>
      </c>
      <c r="C1389" s="4" t="s">
        <v>6390</v>
      </c>
      <c r="D1389" s="1" t="s">
        <v>6391</v>
      </c>
      <c r="E1389" s="1" t="s">
        <v>6392</v>
      </c>
      <c r="F1389" s="4" t="s">
        <v>17</v>
      </c>
      <c r="G1389" s="1" t="s">
        <v>18</v>
      </c>
      <c r="H1389" s="1" t="s">
        <v>19</v>
      </c>
      <c r="I1389" s="1" t="s">
        <v>20</v>
      </c>
      <c r="J1389" s="1" t="s">
        <v>6393</v>
      </c>
      <c r="K1389" s="1" t="s">
        <v>22</v>
      </c>
      <c r="L1389" s="1" t="str">
        <f>HYPERLINK("https://files.afu.se/Downloads/Transcripts/0%20-%20Government/USA%20-%20NASA%20Kennedy/2011 06 10 - NASA's Kennedy Space Center - Launch of Aquarius!_WY00J_PgeYc - transcript (automated).pdf","Transcript Link")</f>
        <v>Transcript Link</v>
      </c>
      <c r="M1389" s="2" t="str">
        <f>HYPERLINK("https://files.afu.se/Downloads/Transcripts/0%20-%20Government/USA%20-%20NASA%20Kennedy/2011 06 10 - NASA's Kennedy Space Center - Launch of Aquarius!_WY00J_PgeYc - transcript (automated).pdf","Transcript Link")</f>
        <v>Transcript Link</v>
      </c>
    </row>
    <row r="1390" ht="210" spans="1:13">
      <c r="A1390" s="1" t="s">
        <v>6374</v>
      </c>
      <c r="B1390" s="1" t="s">
        <v>13</v>
      </c>
      <c r="C1390" s="4" t="s">
        <v>6394</v>
      </c>
      <c r="D1390" s="1" t="s">
        <v>6395</v>
      </c>
      <c r="E1390" s="1" t="s">
        <v>6396</v>
      </c>
      <c r="F1390" s="4" t="s">
        <v>17</v>
      </c>
      <c r="G1390" s="1" t="s">
        <v>18</v>
      </c>
      <c r="H1390" s="1" t="s">
        <v>19</v>
      </c>
      <c r="I1390" s="1" t="s">
        <v>20</v>
      </c>
      <c r="J1390" s="1" t="s">
        <v>6397</v>
      </c>
      <c r="K1390" s="1" t="s">
        <v>22</v>
      </c>
      <c r="L1390" s="1" t="str">
        <f>HYPERLINK("https://files.afu.se/Downloads/Transcripts/0%20-%20Government/USA%20-%20NASA%20Kennedy/2011 06 10 - NASA's Kennedy Space Center - Aquarius Launch  Intro to live coverage_m9xVJ8jaimU - transcript (automated).pdf","Transcript Link")</f>
        <v>Transcript Link</v>
      </c>
      <c r="M1390" s="2" t="str">
        <f>HYPERLINK("https://files.afu.se/Downloads/Transcripts/0%20-%20Government/USA%20-%20NASA%20Kennedy/2011 06 10 - NASA's Kennedy Space Center - Aquarius Launch  Intro to live coverage_m9xVJ8jaimU - transcript (automated).pdf","Transcript Link")</f>
        <v>Transcript Link</v>
      </c>
    </row>
    <row r="1391" ht="300" spans="1:13">
      <c r="A1391" s="1" t="s">
        <v>6398</v>
      </c>
      <c r="B1391" s="1" t="s">
        <v>13</v>
      </c>
      <c r="C1391" s="4" t="s">
        <v>6399</v>
      </c>
      <c r="D1391" s="1" t="s">
        <v>6400</v>
      </c>
      <c r="E1391" s="1" t="s">
        <v>6401</v>
      </c>
      <c r="F1391" s="4" t="s">
        <v>17</v>
      </c>
      <c r="G1391" s="1" t="s">
        <v>18</v>
      </c>
      <c r="H1391" s="1" t="s">
        <v>19</v>
      </c>
      <c r="I1391" s="1" t="s">
        <v>20</v>
      </c>
      <c r="J1391" s="1" t="s">
        <v>6402</v>
      </c>
      <c r="K1391" s="1" t="s">
        <v>22</v>
      </c>
      <c r="L1391" s="1" t="str">
        <f>HYPERLINK("https://files.afu.se/Downloads/Transcripts/0%20-%20Government/USA%20-%20NASA%20Kennedy/2011 06 08 - NASA's Kennedy Space Center - NASA's Aquarius Mission Special Feature_xkVE6pOgEfk - transcript (automated).pdf","Transcript Link")</f>
        <v>Transcript Link</v>
      </c>
      <c r="M1391" s="2" t="str">
        <f>HYPERLINK("https://files.afu.se/Downloads/Transcripts/0%20-%20Government/USA%20-%20NASA%20Kennedy/2011 06 08 - NASA's Kennedy Space Center - NASA's Aquarius Mission Special Feature_xkVE6pOgEfk - transcript (automated).pdf","Transcript Link")</f>
        <v>Transcript Link</v>
      </c>
    </row>
    <row r="1392" ht="195" spans="1:13">
      <c r="A1392" s="1" t="s">
        <v>6403</v>
      </c>
      <c r="B1392" s="1" t="s">
        <v>13</v>
      </c>
      <c r="C1392" s="4" t="s">
        <v>6404</v>
      </c>
      <c r="D1392" s="1" t="s">
        <v>6405</v>
      </c>
      <c r="E1392" s="1" t="s">
        <v>6406</v>
      </c>
      <c r="F1392" s="4" t="s">
        <v>17</v>
      </c>
      <c r="G1392" s="1" t="s">
        <v>18</v>
      </c>
      <c r="H1392" s="1" t="s">
        <v>19</v>
      </c>
      <c r="I1392" s="1" t="s">
        <v>20</v>
      </c>
      <c r="J1392" s="1" t="s">
        <v>6407</v>
      </c>
      <c r="K1392" s="1" t="s">
        <v>22</v>
      </c>
      <c r="L1392" s="1" t="str">
        <f>HYPERLINK("https://files.afu.se/Downloads/Transcripts/0%20-%20Government/USA%20-%20NASA%20Kennedy/2011 06 02 - NASA's Kennedy Space Center - KSC Honor Flag_8ZcA3FfqTkU - transcript (automated).pdf","Transcript Link")</f>
        <v>Transcript Link</v>
      </c>
      <c r="M1392" s="2" t="str">
        <f>HYPERLINK("https://files.afu.se/Downloads/Transcripts/0%20-%20Government/USA%20-%20NASA%20Kennedy/2011 06 02 - NASA's Kennedy Space Center - KSC Honor Flag_8ZcA3FfqTkU - transcript (automated).pdf","Transcript Link")</f>
        <v>Transcript Link</v>
      </c>
    </row>
    <row r="1393" ht="180" spans="1:13">
      <c r="A1393" s="1" t="s">
        <v>6408</v>
      </c>
      <c r="B1393" s="1" t="s">
        <v>13</v>
      </c>
      <c r="C1393" s="4" t="s">
        <v>6409</v>
      </c>
      <c r="D1393" s="1" t="s">
        <v>6410</v>
      </c>
      <c r="E1393" s="1" t="s">
        <v>6411</v>
      </c>
      <c r="F1393" s="4" t="s">
        <v>17</v>
      </c>
      <c r="G1393" s="1" t="s">
        <v>18</v>
      </c>
      <c r="H1393" s="1" t="s">
        <v>19</v>
      </c>
      <c r="I1393" s="1" t="s">
        <v>20</v>
      </c>
      <c r="J1393" s="1" t="s">
        <v>6412</v>
      </c>
      <c r="K1393" s="1" t="s">
        <v>22</v>
      </c>
      <c r="L1393" s="1" t="str">
        <f>HYPERLINK("https://files.afu.se/Downloads/Transcripts/0%20-%20Government/USA%20-%20NASA%20Kennedy/2011 06 01 - NASA's Kennedy Space Center - STS-135 Rollout_LE3Lc2i3BLw - transcript (automated).pdf","Transcript Link")</f>
        <v>Transcript Link</v>
      </c>
      <c r="M1393" s="2" t="str">
        <f>HYPERLINK("https://files.afu.se/Downloads/Transcripts/0%20-%20Government/USA%20-%20NASA%20Kennedy/2011 06 01 - NASA's Kennedy Space Center - STS-135 Rollout_LE3Lc2i3BLw - transcript (automated).pdf","Transcript Link")</f>
        <v>Transcript Link</v>
      </c>
    </row>
    <row r="1394" ht="195" spans="1:13">
      <c r="A1394" s="1" t="s">
        <v>6408</v>
      </c>
      <c r="B1394" s="1" t="s">
        <v>13</v>
      </c>
      <c r="C1394" s="4" t="s">
        <v>6413</v>
      </c>
      <c r="D1394" s="1" t="s">
        <v>6414</v>
      </c>
      <c r="E1394" s="1" t="s">
        <v>6415</v>
      </c>
      <c r="F1394" s="4" t="s">
        <v>17</v>
      </c>
      <c r="G1394" s="1" t="s">
        <v>18</v>
      </c>
      <c r="H1394" s="1" t="s">
        <v>19</v>
      </c>
      <c r="I1394" s="1" t="s">
        <v>20</v>
      </c>
      <c r="J1394" s="1" t="s">
        <v>6416</v>
      </c>
      <c r="K1394" s="1" t="s">
        <v>22</v>
      </c>
      <c r="L1394" s="1" t="str">
        <f>HYPERLINK("https://files.afu.se/Downloads/Transcripts/0%20-%20Government/USA%20-%20NASA%20Kennedy/2011 06 01 - NASA's Kennedy Space Center - STS-134 Landing Crew Comments_g-M2aHfNGDM - transcript (automated).pdf","Transcript Link")</f>
        <v>Transcript Link</v>
      </c>
      <c r="M1394" s="2" t="str">
        <f>HYPERLINK("https://files.afu.se/Downloads/Transcripts/0%20-%20Government/USA%20-%20NASA%20Kennedy/2011 06 01 - NASA's Kennedy Space Center - STS-134 Landing Crew Comments_g-M2aHfNGDM - transcript (automated).pdf","Transcript Link")</f>
        <v>Transcript Link</v>
      </c>
    </row>
    <row r="1395" ht="180" spans="1:13">
      <c r="A1395" s="1" t="s">
        <v>6408</v>
      </c>
      <c r="B1395" s="1" t="s">
        <v>13</v>
      </c>
      <c r="C1395" s="4" t="s">
        <v>6417</v>
      </c>
      <c r="D1395" s="1" t="s">
        <v>6418</v>
      </c>
      <c r="E1395" s="1" t="s">
        <v>6419</v>
      </c>
      <c r="F1395" s="4" t="s">
        <v>17</v>
      </c>
      <c r="G1395" s="1" t="s">
        <v>18</v>
      </c>
      <c r="H1395" s="1" t="s">
        <v>19</v>
      </c>
      <c r="I1395" s="1" t="s">
        <v>20</v>
      </c>
      <c r="J1395" s="1" t="s">
        <v>6420</v>
      </c>
      <c r="K1395" s="1" t="s">
        <v>22</v>
      </c>
      <c r="L1395" s="1" t="str">
        <f>HYPERLINK("https://files.afu.se/Downloads/Transcripts/0%20-%20Government/USA%20-%20NASA%20Kennedy/2011 06 01 - NASA's Kennedy Space Center - STS-134 Landing_JoTBB9gmUkw - transcript (automated).pdf","Transcript Link")</f>
        <v>Transcript Link</v>
      </c>
      <c r="M1395" s="2" t="str">
        <f>HYPERLINK("https://files.afu.se/Downloads/Transcripts/0%20-%20Government/USA%20-%20NASA%20Kennedy/2011 06 01 - NASA's Kennedy Space Center - STS-134 Landing_JoTBB9gmUkw - transcript (automated).pdf","Transcript Link")</f>
        <v>Transcript Link</v>
      </c>
    </row>
    <row r="1396" ht="195" spans="1:13">
      <c r="A1396" s="1" t="s">
        <v>6408</v>
      </c>
      <c r="B1396" s="1" t="s">
        <v>13</v>
      </c>
      <c r="C1396" s="4" t="s">
        <v>6421</v>
      </c>
      <c r="D1396" s="1" t="s">
        <v>6422</v>
      </c>
      <c r="E1396" s="1" t="s">
        <v>6423</v>
      </c>
      <c r="F1396" s="4" t="s">
        <v>17</v>
      </c>
      <c r="G1396" s="1" t="s">
        <v>18</v>
      </c>
      <c r="H1396" s="1" t="s">
        <v>19</v>
      </c>
      <c r="I1396" s="1" t="s">
        <v>20</v>
      </c>
      <c r="J1396" s="1" t="s">
        <v>6424</v>
      </c>
      <c r="K1396" s="1" t="s">
        <v>22</v>
      </c>
      <c r="L1396" s="1" t="str">
        <f>HYPERLINK("https://files.afu.se/Downloads/Transcripts/0%20-%20Government/USA%20-%20NASA%20Kennedy/2011 06 01 - NASA's Kennedy Space Center - STS-134 Go For Deorbit Burn_oBUa4UX84mc - transcript (automated).pdf","Transcript Link")</f>
        <v>Transcript Link</v>
      </c>
      <c r="M1396" s="2" t="str">
        <f>HYPERLINK("https://files.afu.se/Downloads/Transcripts/0%20-%20Government/USA%20-%20NASA%20Kennedy/2011 06 01 - NASA's Kennedy Space Center - STS-134 Go For Deorbit Burn_oBUa4UX84mc - transcript (automated).pdf","Transcript Link")</f>
        <v>Transcript Link</v>
      </c>
    </row>
    <row r="1397" ht="180" spans="1:13">
      <c r="A1397" s="1" t="s">
        <v>6425</v>
      </c>
      <c r="B1397" s="1" t="s">
        <v>13</v>
      </c>
      <c r="C1397" s="4" t="s">
        <v>6426</v>
      </c>
      <c r="D1397" s="1" t="s">
        <v>6427</v>
      </c>
      <c r="E1397" s="1" t="s">
        <v>6428</v>
      </c>
      <c r="F1397" s="4" t="s">
        <v>17</v>
      </c>
      <c r="G1397" s="1" t="s">
        <v>18</v>
      </c>
      <c r="H1397" s="1" t="s">
        <v>19</v>
      </c>
      <c r="I1397" s="1" t="s">
        <v>20</v>
      </c>
      <c r="J1397" s="1" t="s">
        <v>6429</v>
      </c>
      <c r="K1397" s="1" t="s">
        <v>22</v>
      </c>
      <c r="L1397" s="1" t="str">
        <f>HYPERLINK("https://files.afu.se/Downloads/Transcripts/0%20-%20Government/USA%20-%20NASA%20Kennedy/2011 05 20 - NASA's Kennedy Space Center - Space Shuttle Era  Firing Room_N62vMwuSinU - transcript (automated).pdf","Transcript Link")</f>
        <v>Transcript Link</v>
      </c>
      <c r="M1397" s="2" t="str">
        <f>HYPERLINK("https://files.afu.se/Downloads/Transcripts/0%20-%20Government/USA%20-%20NASA%20Kennedy/2011 05 20 - NASA's Kennedy Space Center - Space Shuttle Era  Firing Room_N62vMwuSinU - transcript (automated).pdf","Transcript Link")</f>
        <v>Transcript Link</v>
      </c>
    </row>
    <row r="1398" ht="180" spans="1:13">
      <c r="A1398" s="1" t="s">
        <v>6425</v>
      </c>
      <c r="B1398" s="1" t="s">
        <v>13</v>
      </c>
      <c r="C1398" s="4" t="s">
        <v>6430</v>
      </c>
      <c r="D1398" s="1" t="s">
        <v>6431</v>
      </c>
      <c r="E1398" s="1" t="s">
        <v>6432</v>
      </c>
      <c r="F1398" s="4" t="s">
        <v>17</v>
      </c>
      <c r="G1398" s="1" t="s">
        <v>18</v>
      </c>
      <c r="H1398" s="1" t="s">
        <v>19</v>
      </c>
      <c r="I1398" s="1" t="s">
        <v>20</v>
      </c>
      <c r="J1398" s="1" t="s">
        <v>6433</v>
      </c>
      <c r="K1398" s="1" t="s">
        <v>22</v>
      </c>
      <c r="L1398" s="1" t="str">
        <f>HYPERLINK("https://files.afu.se/Downloads/Transcripts/0%20-%20Government/USA%20-%20NASA%20Kennedy/2011 05 20 - NASA's Kennedy Space Center - Space Shuttle Glass Cockpit_g4bWm8_JITI - transcript (automated).pdf","Transcript Link")</f>
        <v>Transcript Link</v>
      </c>
      <c r="M1398" s="2" t="str">
        <f>HYPERLINK("https://files.afu.se/Downloads/Transcripts/0%20-%20Government/USA%20-%20NASA%20Kennedy/2011 05 20 - NASA's Kennedy Space Center - Space Shuttle Glass Cockpit_g4bWm8_JITI - transcript (automated).pdf","Transcript Link")</f>
        <v>Transcript Link</v>
      </c>
    </row>
    <row r="1399" ht="180" spans="1:13">
      <c r="A1399" s="1" t="s">
        <v>6434</v>
      </c>
      <c r="B1399" s="1" t="s">
        <v>13</v>
      </c>
      <c r="C1399" s="4" t="s">
        <v>6435</v>
      </c>
      <c r="D1399" s="1" t="s">
        <v>6436</v>
      </c>
      <c r="E1399" s="1" t="s">
        <v>6437</v>
      </c>
      <c r="F1399" s="4" t="s">
        <v>17</v>
      </c>
      <c r="G1399" s="1" t="s">
        <v>18</v>
      </c>
      <c r="H1399" s="1" t="s">
        <v>19</v>
      </c>
      <c r="I1399" s="1" t="s">
        <v>20</v>
      </c>
      <c r="J1399" s="1" t="s">
        <v>6438</v>
      </c>
      <c r="K1399" s="1" t="s">
        <v>22</v>
      </c>
      <c r="L1399" s="1" t="str">
        <f>HYPERLINK("https://files.afu.se/Downloads/Transcripts/0%20-%20Government/USA%20-%20NASA%20Kennedy/2011 05 19 - NASA's Kennedy Space Center - Space Shuttle Era  Closeout Crew_CryYbmcxkjg - transcript (automated).pdf","Transcript Link")</f>
        <v>Transcript Link</v>
      </c>
      <c r="M1399" s="2" t="str">
        <f>HYPERLINK("https://files.afu.se/Downloads/Transcripts/0%20-%20Government/USA%20-%20NASA%20Kennedy/2011 05 19 - NASA's Kennedy Space Center - Space Shuttle Era  Closeout Crew_CryYbmcxkjg - transcript (automated).pdf","Transcript Link")</f>
        <v>Transcript Link</v>
      </c>
    </row>
    <row r="1400" ht="180" spans="1:13">
      <c r="A1400" s="1" t="s">
        <v>6439</v>
      </c>
      <c r="B1400" s="1" t="s">
        <v>13</v>
      </c>
      <c r="C1400" s="4" t="s">
        <v>6440</v>
      </c>
      <c r="D1400" s="1" t="s">
        <v>6441</v>
      </c>
      <c r="E1400" s="1" t="s">
        <v>5710</v>
      </c>
      <c r="F1400" s="4" t="s">
        <v>17</v>
      </c>
      <c r="G1400" s="1" t="s">
        <v>18</v>
      </c>
      <c r="H1400" s="1" t="s">
        <v>19</v>
      </c>
      <c r="I1400" s="1" t="s">
        <v>20</v>
      </c>
      <c r="J1400" s="1" t="s">
        <v>6442</v>
      </c>
      <c r="K1400" s="1" t="s">
        <v>22</v>
      </c>
      <c r="L1400" s="1" t="str">
        <f>HYPERLINK("https://files.afu.se/Downloads/Transcripts/0%20-%20Government/USA%20-%20NASA%20Kennedy/2011 05 16 - NASA's Kennedy Space Center - STS-134 Launch Replay UCS-15 (TV-21A)_vf_8x5kG4EU - transcript (automated).pdf","Transcript Link")</f>
        <v>Transcript Link</v>
      </c>
      <c r="M1400" s="2" t="str">
        <f>HYPERLINK("https://files.afu.se/Downloads/Transcripts/0%20-%20Government/USA%20-%20NASA%20Kennedy/2011 05 16 - NASA's Kennedy Space Center - STS-134 Launch Replay UCS-15 (TV-21A)_vf_8x5kG4EU - transcript (automated).pdf","Transcript Link")</f>
        <v>Transcript Link</v>
      </c>
    </row>
    <row r="1401" ht="180" spans="1:13">
      <c r="A1401" s="1" t="s">
        <v>6439</v>
      </c>
      <c r="B1401" s="1" t="s">
        <v>13</v>
      </c>
      <c r="C1401" s="4" t="s">
        <v>6443</v>
      </c>
      <c r="D1401" s="1" t="s">
        <v>6444</v>
      </c>
      <c r="E1401" s="1" t="s">
        <v>5710</v>
      </c>
      <c r="F1401" s="4" t="s">
        <v>17</v>
      </c>
      <c r="G1401" s="1" t="s">
        <v>18</v>
      </c>
      <c r="H1401" s="1" t="s">
        <v>19</v>
      </c>
      <c r="I1401" s="1" t="s">
        <v>20</v>
      </c>
      <c r="J1401" s="1" t="s">
        <v>6445</v>
      </c>
      <c r="K1401" s="1" t="s">
        <v>22</v>
      </c>
      <c r="L1401" s="1" t="str">
        <f>HYPERLINK("https://files.afu.se/Downloads/Transcripts/0%20-%20Government/USA%20-%20NASA%20Kennedy/2011 05 16 - NASA's Kennedy Space Center - STS-134 Launch Replay South Beach Tracker (TV-4A)_YoWWfYzAC60 - transcript (automated).pdf","Transcript Link")</f>
        <v>Transcript Link</v>
      </c>
      <c r="M1401" s="2" t="str">
        <f>HYPERLINK("https://files.afu.se/Downloads/Transcripts/0%20-%20Government/USA%20-%20NASA%20Kennedy/2011 05 16 - NASA's Kennedy Space Center - STS-134 Launch Replay South Beach Tracker (TV-4A)_YoWWfYzAC60 - transcript (automated).pdf","Transcript Link")</f>
        <v>Transcript Link</v>
      </c>
    </row>
    <row r="1402" ht="180" spans="1:13">
      <c r="A1402" s="1" t="s">
        <v>6439</v>
      </c>
      <c r="B1402" s="1" t="s">
        <v>13</v>
      </c>
      <c r="C1402" s="4" t="s">
        <v>6446</v>
      </c>
      <c r="D1402" s="1" t="s">
        <v>6447</v>
      </c>
      <c r="E1402" s="1" t="s">
        <v>5710</v>
      </c>
      <c r="F1402" s="4" t="s">
        <v>17</v>
      </c>
      <c r="G1402" s="1" t="s">
        <v>18</v>
      </c>
      <c r="H1402" s="1" t="s">
        <v>19</v>
      </c>
      <c r="I1402" s="1" t="s">
        <v>20</v>
      </c>
      <c r="J1402" s="1" t="s">
        <v>6448</v>
      </c>
      <c r="K1402" s="1" t="s">
        <v>22</v>
      </c>
      <c r="L1402" s="1" t="str">
        <f>HYPERLINK("https://files.afu.se/Downloads/Transcripts/0%20-%20Government/USA%20-%20NASA%20Kennedy/2011 05 16 - NASA's Kennedy Space Center - STS-134 Launch Replay Press Site (TV-50)_x04QbxB7CZM - transcript (automated).pdf","Transcript Link")</f>
        <v>Transcript Link</v>
      </c>
      <c r="M1402" s="2" t="str">
        <f>HYPERLINK("https://files.afu.se/Downloads/Transcripts/0%20-%20Government/USA%20-%20NASA%20Kennedy/2011 05 16 - NASA's Kennedy Space Center - STS-134 Launch Replay Press Site (TV-50)_x04QbxB7CZM - transcript (automated).pdf","Transcript Link")</f>
        <v>Transcript Link</v>
      </c>
    </row>
    <row r="1403" ht="180" spans="1:13">
      <c r="A1403" s="1" t="s">
        <v>6439</v>
      </c>
      <c r="B1403" s="1" t="s">
        <v>13</v>
      </c>
      <c r="C1403" s="4" t="s">
        <v>6449</v>
      </c>
      <c r="D1403" s="1" t="s">
        <v>6450</v>
      </c>
      <c r="E1403" s="1" t="s">
        <v>5710</v>
      </c>
      <c r="F1403" s="4" t="s">
        <v>17</v>
      </c>
      <c r="G1403" s="1" t="s">
        <v>18</v>
      </c>
      <c r="H1403" s="1" t="s">
        <v>19</v>
      </c>
      <c r="I1403" s="1" t="s">
        <v>20</v>
      </c>
      <c r="J1403" s="1" t="s">
        <v>6451</v>
      </c>
      <c r="K1403" s="1" t="s">
        <v>22</v>
      </c>
      <c r="L1403" s="1" t="str">
        <f>HYPERLINK("https://files.afu.se/Downloads/Transcripts/0%20-%20Government/USA%20-%20NASA%20Kennedy/2011 05 16 - NASA's Kennedy Space Center - STS-134 Launch Replay OTV Camera 71_Z9hKDFxA9UA - transcript (automated).pdf","Transcript Link")</f>
        <v>Transcript Link</v>
      </c>
      <c r="M1403" s="2" t="str">
        <f>HYPERLINK("https://files.afu.se/Downloads/Transcripts/0%20-%20Government/USA%20-%20NASA%20Kennedy/2011 05 16 - NASA's Kennedy Space Center - STS-134 Launch Replay OTV Camera 71_Z9hKDFxA9UA - transcript (automated).pdf","Transcript Link")</f>
        <v>Transcript Link</v>
      </c>
    </row>
    <row r="1404" ht="180" spans="1:13">
      <c r="A1404" s="1" t="s">
        <v>6439</v>
      </c>
      <c r="B1404" s="1" t="s">
        <v>13</v>
      </c>
      <c r="C1404" s="4" t="s">
        <v>6452</v>
      </c>
      <c r="D1404" s="1" t="s">
        <v>6453</v>
      </c>
      <c r="E1404" s="1" t="s">
        <v>5710</v>
      </c>
      <c r="F1404" s="4" t="s">
        <v>17</v>
      </c>
      <c r="G1404" s="1" t="s">
        <v>18</v>
      </c>
      <c r="H1404" s="1" t="s">
        <v>19</v>
      </c>
      <c r="I1404" s="1" t="s">
        <v>20</v>
      </c>
      <c r="J1404" s="1" t="s">
        <v>6454</v>
      </c>
      <c r="K1404" s="1" t="s">
        <v>22</v>
      </c>
      <c r="L1404" s="1" t="str">
        <f>HYPERLINK("https://files.afu.se/Downloads/Transcripts/0%20-%20Government/USA%20-%20NASA%20Kennedy/2011 05 16 - NASA's Kennedy Space Center - STS-134 Launch Replay Camera Site 2 (TV-7A)_X47raRdRSBA - transcript (automated).pdf","Transcript Link")</f>
        <v>Transcript Link</v>
      </c>
      <c r="M1404" s="2" t="str">
        <f>HYPERLINK("https://files.afu.se/Downloads/Transcripts/0%20-%20Government/USA%20-%20NASA%20Kennedy/2011 05 16 - NASA's Kennedy Space Center - STS-134 Launch Replay Camera Site 2 (TV-7A)_X47raRdRSBA - transcript (automated).pdf","Transcript Link")</f>
        <v>Transcript Link</v>
      </c>
    </row>
    <row r="1405" ht="360" spans="1:13">
      <c r="A1405" s="1" t="s">
        <v>6439</v>
      </c>
      <c r="B1405" s="1" t="s">
        <v>13</v>
      </c>
      <c r="C1405" s="4" t="s">
        <v>6455</v>
      </c>
      <c r="D1405" s="1" t="s">
        <v>6456</v>
      </c>
      <c r="E1405" s="1" t="s">
        <v>6457</v>
      </c>
      <c r="F1405" s="4" t="s">
        <v>17</v>
      </c>
      <c r="G1405" s="1" t="s">
        <v>18</v>
      </c>
      <c r="H1405" s="1" t="s">
        <v>19</v>
      </c>
      <c r="I1405" s="1" t="s">
        <v>20</v>
      </c>
      <c r="J1405" s="1" t="s">
        <v>6458</v>
      </c>
      <c r="K1405" s="1" t="s">
        <v>22</v>
      </c>
      <c r="L1405" s="1" t="str">
        <f>HYPERLINK("https://files.afu.se/Downloads/Transcripts/0%20-%20Government/USA%20-%20NASA%20Kennedy/2011 05 16 - NASA's Kennedy Space Center - STS-134 Launch Poll_vNvhSfmCAtQ - transcript (automated).pdf","Transcript Link")</f>
        <v>Transcript Link</v>
      </c>
      <c r="M1405" s="2" t="str">
        <f>HYPERLINK("https://files.afu.se/Downloads/Transcripts/0%20-%20Government/USA%20-%20NASA%20Kennedy/2011 05 16 - NASA's Kennedy Space Center - STS-134 Launch Poll_vNvhSfmCAtQ - transcript (automated).pdf","Transcript Link")</f>
        <v>Transcript Link</v>
      </c>
    </row>
    <row r="1406" ht="360" spans="1:13">
      <c r="A1406" s="1" t="s">
        <v>6439</v>
      </c>
      <c r="B1406" s="1" t="s">
        <v>13</v>
      </c>
      <c r="C1406" s="4" t="s">
        <v>6459</v>
      </c>
      <c r="D1406" s="1" t="s">
        <v>6460</v>
      </c>
      <c r="E1406" s="1" t="s">
        <v>6461</v>
      </c>
      <c r="F1406" s="4" t="s">
        <v>17</v>
      </c>
      <c r="G1406" s="1" t="s">
        <v>18</v>
      </c>
      <c r="H1406" s="1" t="s">
        <v>19</v>
      </c>
      <c r="I1406" s="1" t="s">
        <v>20</v>
      </c>
      <c r="J1406" s="1" t="s">
        <v>6462</v>
      </c>
      <c r="K1406" s="1" t="s">
        <v>22</v>
      </c>
      <c r="L1406" s="1" t="str">
        <f>HYPERLINK("https://files.afu.se/Downloads/Transcripts/0%20-%20Government/USA%20-%20NASA%20Kennedy/2011 05 16 - NASA's Kennedy Space Center - STS-134 External Tank Jettison_Y4rGWp25CL8 - transcript (automated).pdf","Transcript Link")</f>
        <v>Transcript Link</v>
      </c>
      <c r="M1406" s="2" t="str">
        <f>HYPERLINK("https://files.afu.se/Downloads/Transcripts/0%20-%20Government/USA%20-%20NASA%20Kennedy/2011 05 16 - NASA's Kennedy Space Center - STS-134 External Tank Jettison_Y4rGWp25CL8 - transcript (automated).pdf","Transcript Link")</f>
        <v>Transcript Link</v>
      </c>
    </row>
    <row r="1407" ht="360" spans="1:13">
      <c r="A1407" s="1" t="s">
        <v>6439</v>
      </c>
      <c r="B1407" s="1" t="s">
        <v>13</v>
      </c>
      <c r="C1407" s="4" t="s">
        <v>6463</v>
      </c>
      <c r="D1407" s="1" t="s">
        <v>6464</v>
      </c>
      <c r="E1407" s="1" t="s">
        <v>6465</v>
      </c>
      <c r="F1407" s="4" t="s">
        <v>17</v>
      </c>
      <c r="G1407" s="1" t="s">
        <v>18</v>
      </c>
      <c r="H1407" s="1" t="s">
        <v>19</v>
      </c>
      <c r="I1407" s="1" t="s">
        <v>20</v>
      </c>
      <c r="J1407" s="1" t="s">
        <v>6466</v>
      </c>
      <c r="K1407" s="1" t="s">
        <v>22</v>
      </c>
      <c r="L1407" s="1" t="str">
        <f>HYPERLINK("https://files.afu.se/Downloads/Transcripts/0%20-%20Government/USA%20-%20NASA%20Kennedy/2011 05 16 - NASA's Kennedy Space Center - Launch of STS-134_xQ5-DqcrAyQ - transcript (automated).pdf","Transcript Link")</f>
        <v>Transcript Link</v>
      </c>
      <c r="M1407" s="2" t="str">
        <f>HYPERLINK("https://files.afu.se/Downloads/Transcripts/0%20-%20Government/USA%20-%20NASA%20Kennedy/2011 05 16 - NASA's Kennedy Space Center - Launch of STS-134_xQ5-DqcrAyQ - transcript (automated).pdf","Transcript Link")</f>
        <v>Transcript Link</v>
      </c>
    </row>
    <row r="1408" ht="345" spans="1:13">
      <c r="A1408" s="1" t="s">
        <v>6439</v>
      </c>
      <c r="B1408" s="1" t="s">
        <v>13</v>
      </c>
      <c r="C1408" s="4" t="s">
        <v>6467</v>
      </c>
      <c r="D1408" s="1" t="s">
        <v>6468</v>
      </c>
      <c r="E1408" s="1" t="s">
        <v>6469</v>
      </c>
      <c r="F1408" s="4" t="s">
        <v>17</v>
      </c>
      <c r="G1408" s="1" t="s">
        <v>18</v>
      </c>
      <c r="H1408" s="1" t="s">
        <v>19</v>
      </c>
      <c r="I1408" s="1" t="s">
        <v>20</v>
      </c>
      <c r="J1408" s="1" t="s">
        <v>6470</v>
      </c>
      <c r="K1408" s="1" t="s">
        <v>22</v>
      </c>
      <c r="L1408" s="1" t="str">
        <f>HYPERLINK("https://files.afu.se/Downloads/Transcripts/0%20-%20Government/USA%20-%20NASA%20Kennedy/2011 05 16 - NASA's Kennedy Space Center - STS-134 Crew Ingress_a4CQ2jssTyY - transcript (automated).pdf","Transcript Link")</f>
        <v>Transcript Link</v>
      </c>
      <c r="M1408" s="2" t="str">
        <f>HYPERLINK("https://files.afu.se/Downloads/Transcripts/0%20-%20Government/USA%20-%20NASA%20Kennedy/2011 05 16 - NASA's Kennedy Space Center - STS-134 Crew Ingress_a4CQ2jssTyY - transcript (automated).pdf","Transcript Link")</f>
        <v>Transcript Link</v>
      </c>
    </row>
    <row r="1409" ht="409.5" spans="1:13">
      <c r="A1409" s="1" t="s">
        <v>6439</v>
      </c>
      <c r="B1409" s="1" t="s">
        <v>13</v>
      </c>
      <c r="C1409" s="4" t="s">
        <v>6471</v>
      </c>
      <c r="D1409" s="1" t="s">
        <v>6472</v>
      </c>
      <c r="E1409" s="1" t="s">
        <v>6473</v>
      </c>
      <c r="F1409" s="4" t="s">
        <v>17</v>
      </c>
      <c r="G1409" s="1" t="s">
        <v>18</v>
      </c>
      <c r="H1409" s="1" t="s">
        <v>19</v>
      </c>
      <c r="I1409" s="1" t="s">
        <v>20</v>
      </c>
      <c r="J1409" s="1" t="s">
        <v>6474</v>
      </c>
      <c r="K1409" s="1" t="s">
        <v>22</v>
      </c>
      <c r="L1409" s="1" t="str">
        <f>HYPERLINK("https://files.afu.se/Downloads/Transcripts/0%20-%20Government/USA%20-%20NASA%20Kennedy/2011 05 16 - NASA's Kennedy Space Center - STS-134 Crew Suitup and Walkout_-mANx1VcJbo - transcript (automated).pdf","Transcript Link")</f>
        <v>Transcript Link</v>
      </c>
      <c r="M1409" s="2" t="str">
        <f>HYPERLINK("https://files.afu.se/Downloads/Transcripts/0%20-%20Government/USA%20-%20NASA%20Kennedy/2011 05 16 - NASA's Kennedy Space Center - STS-134 Crew Suitup and Walkout_-mANx1VcJbo - transcript (automated).pdf","Transcript Link")</f>
        <v>Transcript Link</v>
      </c>
    </row>
    <row r="1410" ht="180" spans="1:13">
      <c r="A1410" s="1" t="s">
        <v>6439</v>
      </c>
      <c r="B1410" s="1" t="s">
        <v>13</v>
      </c>
      <c r="C1410" s="4" t="s">
        <v>6475</v>
      </c>
      <c r="D1410" s="1" t="s">
        <v>6476</v>
      </c>
      <c r="E1410" s="1" t="s">
        <v>5710</v>
      </c>
      <c r="F1410" s="4" t="s">
        <v>17</v>
      </c>
      <c r="G1410" s="1" t="s">
        <v>18</v>
      </c>
      <c r="H1410" s="1" t="s">
        <v>19</v>
      </c>
      <c r="I1410" s="1" t="s">
        <v>20</v>
      </c>
      <c r="J1410" s="1" t="s">
        <v>6477</v>
      </c>
      <c r="K1410" s="1" t="s">
        <v>22</v>
      </c>
      <c r="L1410" s="1" t="str">
        <f>HYPERLINK("https://files.afu.se/Downloads/Transcripts/0%20-%20Government/USA%20-%20NASA%20Kennedy/2011 05 16 - NASA's Kennedy Space Center - STS-134 Introduction to Commentary_W5w_eo52Wmg - transcript (automated).pdf","Transcript Link")</f>
        <v>Transcript Link</v>
      </c>
      <c r="M1410" s="2" t="str">
        <f>HYPERLINK("https://files.afu.se/Downloads/Transcripts/0%20-%20Government/USA%20-%20NASA%20Kennedy/2011 05 16 - NASA's Kennedy Space Center - STS-134 Introduction to Commentary_W5w_eo52Wmg - transcript (automated).pdf","Transcript Link")</f>
        <v>Transcript Link</v>
      </c>
    </row>
    <row r="1411" ht="180" spans="1:13">
      <c r="A1411" s="1" t="s">
        <v>6478</v>
      </c>
      <c r="B1411" s="1" t="s">
        <v>13</v>
      </c>
      <c r="C1411" s="4" t="s">
        <v>6479</v>
      </c>
      <c r="D1411" s="1" t="s">
        <v>6480</v>
      </c>
      <c r="E1411" s="1" t="s">
        <v>6481</v>
      </c>
      <c r="F1411" s="4" t="s">
        <v>17</v>
      </c>
      <c r="G1411" s="1" t="s">
        <v>18</v>
      </c>
      <c r="H1411" s="1" t="s">
        <v>19</v>
      </c>
      <c r="I1411" s="1" t="s">
        <v>20</v>
      </c>
      <c r="J1411" s="1" t="s">
        <v>6482</v>
      </c>
      <c r="K1411" s="1" t="s">
        <v>22</v>
      </c>
      <c r="L1411" s="1" t="str">
        <f>HYPERLINK("https://files.afu.se/Downloads/Transcripts/0%20-%20Government/USA%20-%20NASA%20Kennedy/2011 05 06 - NASA's Kennedy Space Center - Living Space  Astronauts Chris Hadfield and Stan Love_X6scZokG9zU - transcript (automated).pdf","Transcript Link")</f>
        <v>Transcript Link</v>
      </c>
      <c r="M1411" s="2" t="str">
        <f>HYPERLINK("https://files.afu.se/Downloads/Transcripts/0%20-%20Government/USA%20-%20NASA%20Kennedy/2011 05 06 - NASA's Kennedy Space Center - Living Space  Astronauts Chris Hadfield and Stan Love_X6scZokG9zU - transcript (automated).pdf","Transcript Link")</f>
        <v>Transcript Link</v>
      </c>
    </row>
    <row r="1412" ht="180" spans="1:13">
      <c r="A1412" s="1" t="s">
        <v>6483</v>
      </c>
      <c r="B1412" s="1" t="s">
        <v>13</v>
      </c>
      <c r="C1412" s="4" t="s">
        <v>6484</v>
      </c>
      <c r="D1412" s="1" t="s">
        <v>6485</v>
      </c>
      <c r="E1412" s="1" t="s">
        <v>5710</v>
      </c>
      <c r="F1412" s="4" t="s">
        <v>17</v>
      </c>
      <c r="G1412" s="1" t="s">
        <v>18</v>
      </c>
      <c r="H1412" s="1" t="s">
        <v>19</v>
      </c>
      <c r="I1412" s="1" t="s">
        <v>20</v>
      </c>
      <c r="J1412" s="1" t="s">
        <v>6486</v>
      </c>
      <c r="K1412" s="1" t="s">
        <v>22</v>
      </c>
      <c r="L1412" s="1" t="str">
        <f>HYPERLINK("https://files.afu.se/Downloads/Transcripts/0%20-%20Government/USA%20-%20NASA%20Kennedy/2011 04 29 - NASA's Kennedy Space Center - STS-134 Scrub Explanation_z0IxYhdPXwI - transcript (automated).pdf","Transcript Link")</f>
        <v>Transcript Link</v>
      </c>
      <c r="M1412" s="2" t="str">
        <f>HYPERLINK("https://files.afu.se/Downloads/Transcripts/0%20-%20Government/USA%20-%20NASA%20Kennedy/2011 04 29 - NASA's Kennedy Space Center - STS-134 Scrub Explanation_z0IxYhdPXwI - transcript (automated).pdf","Transcript Link")</f>
        <v>Transcript Link</v>
      </c>
    </row>
    <row r="1413" ht="180" spans="1:13">
      <c r="A1413" s="1" t="s">
        <v>6483</v>
      </c>
      <c r="B1413" s="1" t="s">
        <v>13</v>
      </c>
      <c r="C1413" s="4" t="s">
        <v>6487</v>
      </c>
      <c r="D1413" s="1" t="s">
        <v>6488</v>
      </c>
      <c r="E1413" s="1" t="s">
        <v>5710</v>
      </c>
      <c r="F1413" s="4" t="s">
        <v>17</v>
      </c>
      <c r="G1413" s="1" t="s">
        <v>18</v>
      </c>
      <c r="H1413" s="1" t="s">
        <v>19</v>
      </c>
      <c r="I1413" s="1" t="s">
        <v>20</v>
      </c>
      <c r="J1413" s="1" t="s">
        <v>6489</v>
      </c>
      <c r="K1413" s="1" t="s">
        <v>22</v>
      </c>
      <c r="L1413" s="1" t="str">
        <f>HYPERLINK("https://files.afu.se/Downloads/Transcripts/0%20-%20Government/USA%20-%20NASA%20Kennedy/2011 04 29 - NASA's Kennedy Space Center - STS-134 Scrub Announcement_EH3h1_hL1j8 - transcript (automated).pdf","Transcript Link")</f>
        <v>Transcript Link</v>
      </c>
      <c r="M1413" s="2" t="str">
        <f>HYPERLINK("https://files.afu.se/Downloads/Transcripts/0%20-%20Government/USA%20-%20NASA%20Kennedy/2011 04 29 - NASA's Kennedy Space Center - STS-134 Scrub Announcement_EH3h1_hL1j8 - transcript (automated).pdf","Transcript Link")</f>
        <v>Transcript Link</v>
      </c>
    </row>
    <row r="1414" ht="180" spans="1:13">
      <c r="A1414" s="1" t="s">
        <v>6483</v>
      </c>
      <c r="B1414" s="1" t="s">
        <v>13</v>
      </c>
      <c r="C1414" s="4" t="s">
        <v>6490</v>
      </c>
      <c r="D1414" s="1" t="s">
        <v>6491</v>
      </c>
      <c r="E1414" s="1" t="s">
        <v>5710</v>
      </c>
      <c r="F1414" s="4" t="s">
        <v>17</v>
      </c>
      <c r="G1414" s="1" t="s">
        <v>18</v>
      </c>
      <c r="H1414" s="1" t="s">
        <v>19</v>
      </c>
      <c r="I1414" s="1" t="s">
        <v>20</v>
      </c>
      <c r="J1414" s="1" t="s">
        <v>6492</v>
      </c>
      <c r="K1414" s="1" t="s">
        <v>22</v>
      </c>
      <c r="L1414" s="1" t="str">
        <f>HYPERLINK("https://files.afu.se/Downloads/Transcripts/0%20-%20Government/USA%20-%20NASA%20Kennedy/2011 04 29 - NASA's Kennedy Space Center - STS-134 Launch Coverage Open_6n4gcpClC8I - transcript (automated).pdf","Transcript Link")</f>
        <v>Transcript Link</v>
      </c>
      <c r="M1414" s="2" t="str">
        <f>HYPERLINK("https://files.afu.se/Downloads/Transcripts/0%20-%20Government/USA%20-%20NASA%20Kennedy/2011 04 29 - NASA's Kennedy Space Center - STS-134 Launch Coverage Open_6n4gcpClC8I - transcript (automated).pdf","Transcript Link")</f>
        <v>Transcript Link</v>
      </c>
    </row>
    <row r="1415" ht="210" spans="1:13">
      <c r="A1415" s="1" t="s">
        <v>6493</v>
      </c>
      <c r="B1415" s="1" t="s">
        <v>13</v>
      </c>
      <c r="C1415" s="4" t="s">
        <v>6494</v>
      </c>
      <c r="D1415" s="1" t="s">
        <v>6495</v>
      </c>
      <c r="E1415" s="1" t="s">
        <v>6496</v>
      </c>
      <c r="F1415" s="4" t="s">
        <v>17</v>
      </c>
      <c r="G1415" s="1" t="s">
        <v>18</v>
      </c>
      <c r="H1415" s="1" t="s">
        <v>19</v>
      </c>
      <c r="I1415" s="1" t="s">
        <v>20</v>
      </c>
      <c r="J1415" s="1" t="s">
        <v>6497</v>
      </c>
      <c r="K1415" s="1" t="s">
        <v>22</v>
      </c>
      <c r="L1415" s="1" t="str">
        <f>HYPERLINK("https://files.afu.se/Downloads/Transcripts/0%20-%20Government/USA%20-%20NASA%20Kennedy/2011 04 28 - NASA's Kennedy Space Center - STS-134  Endeavour's Final Voyage_sXFgdvsGq0g - transcript (automated).pdf","Transcript Link")</f>
        <v>Transcript Link</v>
      </c>
      <c r="M1415" s="2" t="str">
        <f>HYPERLINK("https://files.afu.se/Downloads/Transcripts/0%20-%20Government/USA%20-%20NASA%20Kennedy/2011 04 28 - NASA's Kennedy Space Center - STS-134  Endeavour's Final Voyage_sXFgdvsGq0g - transcript (automated).pdf","Transcript Link")</f>
        <v>Transcript Link</v>
      </c>
    </row>
    <row r="1416" ht="195" spans="1:13">
      <c r="A1416" s="1" t="s">
        <v>6498</v>
      </c>
      <c r="B1416" s="1" t="s">
        <v>13</v>
      </c>
      <c r="C1416" s="4" t="s">
        <v>6499</v>
      </c>
      <c r="D1416" s="1" t="s">
        <v>6500</v>
      </c>
      <c r="E1416" s="1" t="s">
        <v>6501</v>
      </c>
      <c r="F1416" s="4" t="s">
        <v>17</v>
      </c>
      <c r="G1416" s="1" t="s">
        <v>18</v>
      </c>
      <c r="H1416" s="1" t="s">
        <v>19</v>
      </c>
      <c r="I1416" s="1" t="s">
        <v>20</v>
      </c>
      <c r="J1416" s="1" t="s">
        <v>6502</v>
      </c>
      <c r="K1416" s="1" t="s">
        <v>22</v>
      </c>
      <c r="L1416" s="1" t="str">
        <f>HYPERLINK("https://files.afu.se/Downloads/Transcripts/0%20-%20Government/USA%20-%20NASA%20Kennedy/2011 04 22 - NASA's Kennedy Space Center - Space Shuttle Era  Final Inspection Team_F-ougZG5u5U - transcript (automated).pdf","Transcript Link")</f>
        <v>Transcript Link</v>
      </c>
      <c r="M1416" s="2" t="str">
        <f>HYPERLINK("https://files.afu.se/Downloads/Transcripts/0%20-%20Government/USA%20-%20NASA%20Kennedy/2011 04 22 - NASA's Kennedy Space Center - Space Shuttle Era  Final Inspection Team_F-ougZG5u5U - transcript (automated).pdf","Transcript Link")</f>
        <v>Transcript Link</v>
      </c>
    </row>
    <row r="1417" ht="180" spans="1:13">
      <c r="A1417" s="1" t="s">
        <v>6503</v>
      </c>
      <c r="B1417" s="1" t="s">
        <v>13</v>
      </c>
      <c r="C1417" s="4" t="s">
        <v>6504</v>
      </c>
      <c r="D1417" s="1" t="s">
        <v>6505</v>
      </c>
      <c r="E1417" s="1" t="s">
        <v>6506</v>
      </c>
      <c r="F1417" s="4" t="s">
        <v>17</v>
      </c>
      <c r="G1417" s="1" t="s">
        <v>18</v>
      </c>
      <c r="H1417" s="1" t="s">
        <v>19</v>
      </c>
      <c r="I1417" s="1" t="s">
        <v>20</v>
      </c>
      <c r="J1417" s="1" t="s">
        <v>6507</v>
      </c>
      <c r="K1417" s="1" t="s">
        <v>22</v>
      </c>
      <c r="L1417" s="1" t="str">
        <f>HYPERLINK("https://files.afu.se/Downloads/Transcripts/0%20-%20Government/USA%20-%20NASA%20Kennedy/2011 04 19 - NASA's Kennedy Space Center - Kennedy Space Center - The Future Starts Here_wgRPdK_hTis - transcript (automated).pdf","Transcript Link")</f>
        <v>Transcript Link</v>
      </c>
      <c r="M1417" s="2" t="str">
        <f>HYPERLINK("https://files.afu.se/Downloads/Transcripts/0%20-%20Government/USA%20-%20NASA%20Kennedy/2011 04 19 - NASA's Kennedy Space Center - Kennedy Space Center - The Future Starts Here_wgRPdK_hTis - transcript (automated).pdf","Transcript Link")</f>
        <v>Transcript Link</v>
      </c>
    </row>
    <row r="1418" ht="180" spans="1:13">
      <c r="A1418" s="1" t="s">
        <v>6508</v>
      </c>
      <c r="B1418" s="1" t="s">
        <v>13</v>
      </c>
      <c r="C1418" s="4" t="s">
        <v>6509</v>
      </c>
      <c r="D1418" s="1" t="s">
        <v>6510</v>
      </c>
      <c r="E1418" s="1" t="s">
        <v>5710</v>
      </c>
      <c r="F1418" s="4" t="s">
        <v>17</v>
      </c>
      <c r="G1418" s="1" t="s">
        <v>18</v>
      </c>
      <c r="H1418" s="1" t="s">
        <v>19</v>
      </c>
      <c r="I1418" s="1" t="s">
        <v>20</v>
      </c>
      <c r="J1418" s="1" t="s">
        <v>6511</v>
      </c>
      <c r="K1418" s="1" t="s">
        <v>22</v>
      </c>
      <c r="L1418" s="1" t="str">
        <f>HYPERLINK("https://files.afu.se/Downloads/Transcripts/0%20-%20Government/USA%20-%20NASA%20Kennedy/2011 04 13 - NASA's Kennedy Space Center - Remembering the Space Shuttle Program_RdFkrbE6990 - transcript (automated).pdf","Transcript Link")</f>
        <v>Transcript Link</v>
      </c>
      <c r="M1418" s="2" t="str">
        <f>HYPERLINK("https://files.afu.se/Downloads/Transcripts/0%20-%20Government/USA%20-%20NASA%20Kennedy/2011 04 13 - NASA's Kennedy Space Center - Remembering the Space Shuttle Program_RdFkrbE6990 - transcript (automated).pdf","Transcript Link")</f>
        <v>Transcript Link</v>
      </c>
    </row>
    <row r="1419" ht="180" spans="1:13">
      <c r="A1419" s="1" t="s">
        <v>6512</v>
      </c>
      <c r="B1419" s="1" t="s">
        <v>13</v>
      </c>
      <c r="C1419" s="4" t="s">
        <v>6513</v>
      </c>
      <c r="D1419" s="1" t="s">
        <v>6514</v>
      </c>
      <c r="E1419" s="1" t="s">
        <v>6515</v>
      </c>
      <c r="F1419" s="4" t="s">
        <v>17</v>
      </c>
      <c r="G1419" s="1" t="s">
        <v>18</v>
      </c>
      <c r="H1419" s="1" t="s">
        <v>19</v>
      </c>
      <c r="I1419" s="1" t="s">
        <v>20</v>
      </c>
      <c r="J1419" s="1" t="s">
        <v>6516</v>
      </c>
      <c r="K1419" s="1" t="s">
        <v>22</v>
      </c>
      <c r="L1419" s="1" t="str">
        <f>HYPERLINK("https://files.afu.se/Downloads/Transcripts/0%20-%20Government/USA%20-%20NASA%20Kennedy/2011 04 12 - NASA's Kennedy Space Center - Kennedy Space Center is the new home of Space Shuttle Atlantis_doGcMijgWx4 - transcript (automated).pdf","Transcript Link")</f>
        <v>Transcript Link</v>
      </c>
      <c r="M1419" s="2" t="str">
        <f>HYPERLINK("https://files.afu.se/Downloads/Transcripts/0%20-%20Government/USA%20-%20NASA%20Kennedy/2011 04 12 - NASA's Kennedy Space Center - Kennedy Space Center is the new home of Space Shuttle Atlantis_doGcMijgWx4 - transcript (automated).pdf","Transcript Link")</f>
        <v>Transcript Link</v>
      </c>
    </row>
    <row r="1420" ht="240" spans="1:13">
      <c r="A1420" s="1" t="s">
        <v>6512</v>
      </c>
      <c r="B1420" s="1" t="s">
        <v>13</v>
      </c>
      <c r="C1420" s="4" t="s">
        <v>6517</v>
      </c>
      <c r="D1420" s="1" t="s">
        <v>6518</v>
      </c>
      <c r="E1420" s="1" t="s">
        <v>6519</v>
      </c>
      <c r="F1420" s="4" t="s">
        <v>17</v>
      </c>
      <c r="G1420" s="1" t="s">
        <v>18</v>
      </c>
      <c r="H1420" s="1" t="s">
        <v>19</v>
      </c>
      <c r="I1420" s="1" t="s">
        <v>20</v>
      </c>
      <c r="J1420" s="1" t="s">
        <v>6520</v>
      </c>
      <c r="K1420" s="1" t="s">
        <v>22</v>
      </c>
      <c r="L1420" s="1" t="str">
        <f>HYPERLINK("https://files.afu.se/Downloads/Transcripts/0%20-%20Government/USA%20-%20NASA%20Kennedy/2011 04 12 - NASA's Kennedy Space Center - STS-1 Launch_6qMPLydUbuM - transcript (automated).pdf","Transcript Link")</f>
        <v>Transcript Link</v>
      </c>
      <c r="M1420" s="2" t="str">
        <f>HYPERLINK("https://files.afu.se/Downloads/Transcripts/0%20-%20Government/USA%20-%20NASA%20Kennedy/2011 04 12 - NASA's Kennedy Space Center - STS-1 Launch_6qMPLydUbuM - transcript (automated).pdf","Transcript Link")</f>
        <v>Transcript Link</v>
      </c>
    </row>
    <row r="1421" ht="225" spans="1:13">
      <c r="A1421" s="1" t="s">
        <v>6521</v>
      </c>
      <c r="B1421" s="1" t="s">
        <v>13</v>
      </c>
      <c r="C1421" s="4" t="s">
        <v>6522</v>
      </c>
      <c r="D1421" s="1" t="s">
        <v>6523</v>
      </c>
      <c r="E1421" s="1" t="s">
        <v>6524</v>
      </c>
      <c r="F1421" s="4" t="s">
        <v>17</v>
      </c>
      <c r="G1421" s="1" t="s">
        <v>18</v>
      </c>
      <c r="H1421" s="1" t="s">
        <v>19</v>
      </c>
      <c r="I1421" s="1" t="s">
        <v>20</v>
      </c>
      <c r="J1421" s="1" t="s">
        <v>6525</v>
      </c>
      <c r="K1421" s="1" t="s">
        <v>22</v>
      </c>
      <c r="L1421" s="1" t="str">
        <f>HYPERLINK("https://files.afu.se/Downloads/Transcripts/0%20-%20Government/USA%20-%20NASA%20Kennedy/2011 04 05 - NASA's Kennedy Space Center - STS-134 Astronauts Train for Launch__6SH1xqmEfM - transcript (automated).pdf","Transcript Link")</f>
        <v>Transcript Link</v>
      </c>
      <c r="M1421" s="2" t="str">
        <f>HYPERLINK("https://files.afu.se/Downloads/Transcripts/0%20-%20Government/USA%20-%20NASA%20Kennedy/2011 04 05 - NASA's Kennedy Space Center - STS-134 Astronauts Train for Launch__6SH1xqmEfM - transcript (automated).pdf","Transcript Link")</f>
        <v>Transcript Link</v>
      </c>
    </row>
    <row r="1422" ht="180" spans="1:13">
      <c r="A1422" s="1" t="s">
        <v>6526</v>
      </c>
      <c r="B1422" s="1" t="s">
        <v>13</v>
      </c>
      <c r="C1422" s="4" t="s">
        <v>6527</v>
      </c>
      <c r="D1422" s="1" t="s">
        <v>6528</v>
      </c>
      <c r="E1422" s="1" t="s">
        <v>6529</v>
      </c>
      <c r="F1422" s="4" t="s">
        <v>17</v>
      </c>
      <c r="G1422" s="1" t="s">
        <v>18</v>
      </c>
      <c r="H1422" s="1" t="s">
        <v>19</v>
      </c>
      <c r="I1422" s="1" t="s">
        <v>20</v>
      </c>
      <c r="J1422" s="1" t="s">
        <v>6530</v>
      </c>
      <c r="K1422" s="1" t="s">
        <v>22</v>
      </c>
      <c r="L1422" s="1" t="str">
        <f>HYPERLINK("https://files.afu.se/Downloads/Transcripts/0%20-%20Government/USA%20-%20NASA%20Kennedy/2011 03 25 - NASA's Kennedy Space Center - Space Shuttle Era  NASA Kennedy Beach House_pFDpwGcQ96o - transcript (automated).pdf","Transcript Link")</f>
        <v>Transcript Link</v>
      </c>
      <c r="M1422" s="2" t="str">
        <f>HYPERLINK("https://files.afu.se/Downloads/Transcripts/0%20-%20Government/USA%20-%20NASA%20Kennedy/2011 03 25 - NASA's Kennedy Space Center - Space Shuttle Era  NASA Kennedy Beach House_pFDpwGcQ96o - transcript (automated).pdf","Transcript Link")</f>
        <v>Transcript Link</v>
      </c>
    </row>
    <row r="1423" ht="180" spans="1:13">
      <c r="A1423" s="1" t="s">
        <v>6531</v>
      </c>
      <c r="B1423" s="1" t="s">
        <v>13</v>
      </c>
      <c r="C1423" s="4" t="s">
        <v>6532</v>
      </c>
      <c r="D1423" s="1" t="s">
        <v>6533</v>
      </c>
      <c r="E1423" s="1" t="s">
        <v>6534</v>
      </c>
      <c r="F1423" s="4" t="s">
        <v>17</v>
      </c>
      <c r="G1423" s="1" t="s">
        <v>18</v>
      </c>
      <c r="H1423" s="1" t="s">
        <v>19</v>
      </c>
      <c r="I1423" s="1" t="s">
        <v>20</v>
      </c>
      <c r="J1423" s="1" t="s">
        <v>6535</v>
      </c>
      <c r="K1423" s="1" t="s">
        <v>22</v>
      </c>
      <c r="L1423" s="1" t="str">
        <f>HYPERLINK("https://files.afu.se/Downloads/Transcripts/0%20-%20Government/USA%20-%20NASA%20Kennedy/2011 03 23 - NASA's Kennedy Space Center - Space Shuttle Era  NASA Railroad Keeps Boosters on Track_gZZV4yZCcEQ - transcript (automated).pdf","Transcript Link")</f>
        <v>Transcript Link</v>
      </c>
      <c r="M1423" s="2" t="str">
        <f>HYPERLINK("https://files.afu.se/Downloads/Transcripts/0%20-%20Government/USA%20-%20NASA%20Kennedy/2011 03 23 - NASA's Kennedy Space Center - Space Shuttle Era  NASA Railroad Keeps Boosters on Track_gZZV4yZCcEQ - transcript (automated).pdf","Transcript Link")</f>
        <v>Transcript Link</v>
      </c>
    </row>
    <row r="1424" ht="210" spans="1:13">
      <c r="A1424" s="1" t="s">
        <v>6536</v>
      </c>
      <c r="B1424" s="1" t="s">
        <v>13</v>
      </c>
      <c r="C1424" s="4" t="s">
        <v>6537</v>
      </c>
      <c r="D1424" s="1" t="s">
        <v>6538</v>
      </c>
      <c r="E1424" s="1" t="s">
        <v>6539</v>
      </c>
      <c r="F1424" s="4" t="s">
        <v>17</v>
      </c>
      <c r="G1424" s="1" t="s">
        <v>18</v>
      </c>
      <c r="H1424" s="1" t="s">
        <v>19</v>
      </c>
      <c r="I1424" s="1" t="s">
        <v>20</v>
      </c>
      <c r="J1424" s="1" t="s">
        <v>6540</v>
      </c>
      <c r="K1424" s="1" t="s">
        <v>22</v>
      </c>
      <c r="L1424" s="1" t="str">
        <f>HYPERLINK("https://files.afu.se/Downloads/Transcripts/0%20-%20Government/USA%20-%20NASA%20Kennedy/2011 03 18 - NASA's Kennedy Space Center - In Their Own Words  George Hoggard_YLNWttnnCl0 - transcript (automated).pdf","Transcript Link")</f>
        <v>Transcript Link</v>
      </c>
      <c r="M1424" s="2" t="str">
        <f>HYPERLINK("https://files.afu.se/Downloads/Transcripts/0%20-%20Government/USA%20-%20NASA%20Kennedy/2011 03 18 - NASA's Kennedy Space Center - In Their Own Words  George Hoggard_YLNWttnnCl0 - transcript (automated).pdf","Transcript Link")</f>
        <v>Transcript Link</v>
      </c>
    </row>
    <row r="1425" ht="255" spans="1:13">
      <c r="A1425" s="1" t="s">
        <v>6536</v>
      </c>
      <c r="B1425" s="1" t="s">
        <v>13</v>
      </c>
      <c r="C1425" s="4" t="s">
        <v>6541</v>
      </c>
      <c r="D1425" s="1" t="s">
        <v>6542</v>
      </c>
      <c r="E1425" s="1" t="s">
        <v>6543</v>
      </c>
      <c r="F1425" s="4" t="s">
        <v>17</v>
      </c>
      <c r="G1425" s="1" t="s">
        <v>18</v>
      </c>
      <c r="H1425" s="1" t="s">
        <v>19</v>
      </c>
      <c r="I1425" s="1" t="s">
        <v>20</v>
      </c>
      <c r="J1425" s="1" t="s">
        <v>6544</v>
      </c>
      <c r="K1425" s="1" t="s">
        <v>22</v>
      </c>
      <c r="L1425" s="1" t="str">
        <f>HYPERLINK("https://files.afu.se/Downloads/Transcripts/0%20-%20Government/USA%20-%20NASA%20Kennedy/2011 03 18 - NASA's Kennedy Space Center - Kennedy Space Center  Employees Assemble for Historic Photo_tr-yTbWuhWE - transcript (automated).pdf","Transcript Link")</f>
        <v>Transcript Link</v>
      </c>
      <c r="M1425" s="2" t="str">
        <f>HYPERLINK("https://files.afu.se/Downloads/Transcripts/0%20-%20Government/USA%20-%20NASA%20Kennedy/2011 03 18 - NASA's Kennedy Space Center - Kennedy Space Center  Employees Assemble for Historic Photo_tr-yTbWuhWE - transcript (automated).pdf","Transcript Link")</f>
        <v>Transcript Link</v>
      </c>
    </row>
    <row r="1426" ht="180" spans="1:13">
      <c r="A1426" s="1" t="s">
        <v>6536</v>
      </c>
      <c r="B1426" s="1" t="s">
        <v>13</v>
      </c>
      <c r="C1426" s="4" t="s">
        <v>6545</v>
      </c>
      <c r="D1426" s="1" t="s">
        <v>6546</v>
      </c>
      <c r="E1426" s="1" t="s">
        <v>5710</v>
      </c>
      <c r="F1426" s="4" t="s">
        <v>17</v>
      </c>
      <c r="G1426" s="1" t="s">
        <v>18</v>
      </c>
      <c r="H1426" s="1" t="s">
        <v>19</v>
      </c>
      <c r="I1426" s="1" t="s">
        <v>20</v>
      </c>
      <c r="J1426" s="1" t="s">
        <v>6547</v>
      </c>
      <c r="K1426" s="1" t="s">
        <v>22</v>
      </c>
      <c r="L1426" s="1" t="str">
        <f>HYPERLINK("https://files.afu.se/Downloads/Transcripts/0%20-%20Government/USA%20-%20NASA%20Kennedy/2011 03 18 - NASA's Kennedy Space Center - STS-133 SRB Recovery_cWR_MHkuBMU - transcript (automated).pdf","Transcript Link")</f>
        <v>Transcript Link</v>
      </c>
      <c r="M1426" s="2" t="str">
        <f>HYPERLINK("https://files.afu.se/Downloads/Transcripts/0%20-%20Government/USA%20-%20NASA%20Kennedy/2011 03 18 - NASA's Kennedy Space Center - STS-133 SRB Recovery_cWR_MHkuBMU - transcript (automated).pdf","Transcript Link")</f>
        <v>Transcript Link</v>
      </c>
    </row>
    <row r="1427" ht="180" spans="1:13">
      <c r="A1427" s="1" t="s">
        <v>6548</v>
      </c>
      <c r="B1427" s="1" t="s">
        <v>13</v>
      </c>
      <c r="C1427" s="4" t="s">
        <v>6549</v>
      </c>
      <c r="D1427" s="1" t="s">
        <v>6550</v>
      </c>
      <c r="E1427" s="1" t="s">
        <v>6551</v>
      </c>
      <c r="F1427" s="4" t="s">
        <v>17</v>
      </c>
      <c r="G1427" s="1" t="s">
        <v>18</v>
      </c>
      <c r="H1427" s="1" t="s">
        <v>19</v>
      </c>
      <c r="I1427" s="1" t="s">
        <v>20</v>
      </c>
      <c r="J1427" s="1" t="s">
        <v>6552</v>
      </c>
      <c r="K1427" s="1" t="s">
        <v>22</v>
      </c>
      <c r="L1427" s="1" t="str">
        <f>HYPERLINK("https://files.afu.se/Downloads/Transcripts/0%20-%20Government/USA%20-%20NASA%20Kennedy/2011 03 17 - NASA's Kennedy Space Center - STS-133 Mission Recap_BCaDkI8A0RM - transcript (automated).pdf","Transcript Link")</f>
        <v>Transcript Link</v>
      </c>
      <c r="M1427" s="2" t="str">
        <f>HYPERLINK("https://files.afu.se/Downloads/Transcripts/0%20-%20Government/USA%20-%20NASA%20Kennedy/2011 03 17 - NASA's Kennedy Space Center - STS-133 Mission Recap_BCaDkI8A0RM - transcript (automated).pdf","Transcript Link")</f>
        <v>Transcript Link</v>
      </c>
    </row>
    <row r="1428" ht="195" spans="1:13">
      <c r="A1428" s="1" t="s">
        <v>6553</v>
      </c>
      <c r="B1428" s="1" t="s">
        <v>13</v>
      </c>
      <c r="C1428" s="4" t="s">
        <v>6554</v>
      </c>
      <c r="D1428" s="1" t="s">
        <v>6555</v>
      </c>
      <c r="E1428" s="1" t="s">
        <v>6556</v>
      </c>
      <c r="F1428" s="4" t="s">
        <v>17</v>
      </c>
      <c r="G1428" s="1" t="s">
        <v>18</v>
      </c>
      <c r="H1428" s="1" t="s">
        <v>19</v>
      </c>
      <c r="I1428" s="1" t="s">
        <v>20</v>
      </c>
      <c r="J1428" s="1" t="s">
        <v>6557</v>
      </c>
      <c r="K1428" s="1" t="s">
        <v>22</v>
      </c>
      <c r="L1428" s="1" t="str">
        <f>HYPERLINK("https://files.afu.se/Downloads/Transcripts/0%20-%20Government/USA%20-%20NASA%20Kennedy/2011 03 11 - NASA's Kennedy Space Center - Rollout of STS-134__VQ32fjAQts - transcript (automated).pdf","Transcript Link")</f>
        <v>Transcript Link</v>
      </c>
      <c r="M1428" s="2" t="str">
        <f>HYPERLINK("https://files.afu.se/Downloads/Transcripts/0%20-%20Government/USA%20-%20NASA%20Kennedy/2011 03 11 - NASA's Kennedy Space Center - Rollout of STS-134__VQ32fjAQts - transcript (automated).pdf","Transcript Link")</f>
        <v>Transcript Link</v>
      </c>
    </row>
    <row r="1429" ht="180" spans="1:13">
      <c r="A1429" s="1" t="s">
        <v>6558</v>
      </c>
      <c r="B1429" s="1" t="s">
        <v>13</v>
      </c>
      <c r="C1429" s="4" t="s">
        <v>6559</v>
      </c>
      <c r="D1429" s="1" t="s">
        <v>6560</v>
      </c>
      <c r="E1429" s="1" t="s">
        <v>6561</v>
      </c>
      <c r="F1429" s="4" t="s">
        <v>17</v>
      </c>
      <c r="G1429" s="1" t="s">
        <v>18</v>
      </c>
      <c r="H1429" s="1" t="s">
        <v>19</v>
      </c>
      <c r="I1429" s="1" t="s">
        <v>20</v>
      </c>
      <c r="J1429" s="1" t="s">
        <v>6562</v>
      </c>
      <c r="K1429" s="1" t="s">
        <v>22</v>
      </c>
      <c r="L1429" s="1" t="str">
        <f>HYPERLINK("https://files.afu.se/Downloads/Transcripts/0%20-%20Government/USA%20-%20NASA%20Kennedy/2011 03 09 - NASA's Kennedy Space Center - STS-133 Landing Crew Comments_O3t8X0g2iTA - transcript (automated).pdf","Transcript Link")</f>
        <v>Transcript Link</v>
      </c>
      <c r="M1429" s="2" t="str">
        <f>HYPERLINK("https://files.afu.se/Downloads/Transcripts/0%20-%20Government/USA%20-%20NASA%20Kennedy/2011 03 09 - NASA's Kennedy Space Center - STS-133 Landing Crew Comments_O3t8X0g2iTA - transcript (automated).pdf","Transcript Link")</f>
        <v>Transcript Link</v>
      </c>
    </row>
    <row r="1430" ht="240" spans="1:13">
      <c r="A1430" s="1" t="s">
        <v>6558</v>
      </c>
      <c r="B1430" s="1" t="s">
        <v>13</v>
      </c>
      <c r="C1430" s="4" t="s">
        <v>6563</v>
      </c>
      <c r="D1430" s="1" t="s">
        <v>6564</v>
      </c>
      <c r="E1430" s="1" t="s">
        <v>6565</v>
      </c>
      <c r="F1430" s="4" t="s">
        <v>17</v>
      </c>
      <c r="G1430" s="1" t="s">
        <v>18</v>
      </c>
      <c r="H1430" s="1" t="s">
        <v>19</v>
      </c>
      <c r="I1430" s="1" t="s">
        <v>20</v>
      </c>
      <c r="J1430" s="1" t="s">
        <v>6566</v>
      </c>
      <c r="K1430" s="1" t="s">
        <v>22</v>
      </c>
      <c r="L1430" s="1" t="str">
        <f>HYPERLINK("https://files.afu.se/Downloads/Transcripts/0%20-%20Government/USA%20-%20NASA%20Kennedy/2011 03 09 - NASA's Kennedy Space Center - Space Shuttle Era  Crawler Transporter_Ui-ehJlGM1Q - transcript (automated).pdf","Transcript Link")</f>
        <v>Transcript Link</v>
      </c>
      <c r="M1430" s="2" t="str">
        <f>HYPERLINK("https://files.afu.se/Downloads/Transcripts/0%20-%20Government/USA%20-%20NASA%20Kennedy/2011 03 09 - NASA's Kennedy Space Center - Space Shuttle Era  Crawler Transporter_Ui-ehJlGM1Q - transcript (automated).pdf","Transcript Link")</f>
        <v>Transcript Link</v>
      </c>
    </row>
    <row r="1431" ht="195" spans="1:13">
      <c r="A1431" s="1" t="s">
        <v>6558</v>
      </c>
      <c r="B1431" s="1" t="s">
        <v>13</v>
      </c>
      <c r="C1431" s="4" t="s">
        <v>6567</v>
      </c>
      <c r="D1431" s="1" t="s">
        <v>6568</v>
      </c>
      <c r="E1431" s="1" t="s">
        <v>6569</v>
      </c>
      <c r="F1431" s="4" t="s">
        <v>17</v>
      </c>
      <c r="G1431" s="1" t="s">
        <v>18</v>
      </c>
      <c r="H1431" s="1" t="s">
        <v>19</v>
      </c>
      <c r="I1431" s="1" t="s">
        <v>20</v>
      </c>
      <c r="J1431" s="1" t="s">
        <v>6570</v>
      </c>
      <c r="K1431" s="1" t="s">
        <v>22</v>
      </c>
      <c r="L1431" s="1" t="str">
        <f>HYPERLINK("https://files.afu.se/Downloads/Transcripts/0%20-%20Government/USA%20-%20NASA%20Kennedy/2011 03 09 - NASA's Kennedy Space Center - STS-133 Landing_f3fMJmoX-2Y - transcript (automated).pdf","Transcript Link")</f>
        <v>Transcript Link</v>
      </c>
      <c r="M1431" s="2" t="str">
        <f>HYPERLINK("https://files.afu.se/Downloads/Transcripts/0%20-%20Government/USA%20-%20NASA%20Kennedy/2011 03 09 - NASA's Kennedy Space Center - STS-133 Landing_f3fMJmoX-2Y - transcript (automated).pdf","Transcript Link")</f>
        <v>Transcript Link</v>
      </c>
    </row>
    <row r="1432" ht="180" spans="1:13">
      <c r="A1432" s="1" t="s">
        <v>6558</v>
      </c>
      <c r="B1432" s="1" t="s">
        <v>13</v>
      </c>
      <c r="C1432" s="4" t="s">
        <v>6571</v>
      </c>
      <c r="D1432" s="1" t="s">
        <v>6572</v>
      </c>
      <c r="E1432" s="1" t="s">
        <v>6573</v>
      </c>
      <c r="F1432" s="4" t="s">
        <v>17</v>
      </c>
      <c r="G1432" s="1" t="s">
        <v>18</v>
      </c>
      <c r="H1432" s="1" t="s">
        <v>19</v>
      </c>
      <c r="I1432" s="1" t="s">
        <v>20</v>
      </c>
      <c r="J1432" s="1" t="s">
        <v>6574</v>
      </c>
      <c r="K1432" s="1" t="s">
        <v>22</v>
      </c>
      <c r="L1432" s="1" t="str">
        <f>HYPERLINK("https://files.afu.se/Downloads/Transcripts/0%20-%20Government/USA%20-%20NASA%20Kennedy/2011 03 09 - NASA's Kennedy Space Center - STS-133 Landing Coverage  Go for deorbit burn_5nD8F5dx6nc - transcript (automated).pdf","Transcript Link")</f>
        <v>Transcript Link</v>
      </c>
      <c r="M1432" s="2" t="str">
        <f>HYPERLINK("https://files.afu.se/Downloads/Transcripts/0%20-%20Government/USA%20-%20NASA%20Kennedy/2011 03 09 - NASA's Kennedy Space Center - STS-133 Landing Coverage  Go for deorbit burn_5nD8F5dx6nc - transcript (automated).pdf","Transcript Link")</f>
        <v>Transcript Link</v>
      </c>
    </row>
    <row r="1433" ht="180" spans="1:13">
      <c r="A1433" s="1" t="s">
        <v>6575</v>
      </c>
      <c r="B1433" s="1" t="s">
        <v>13</v>
      </c>
      <c r="C1433" s="4" t="s">
        <v>6576</v>
      </c>
      <c r="D1433" s="1" t="s">
        <v>6577</v>
      </c>
      <c r="E1433" s="1" t="s">
        <v>6578</v>
      </c>
      <c r="F1433" s="4" t="s">
        <v>17</v>
      </c>
      <c r="G1433" s="1" t="s">
        <v>18</v>
      </c>
      <c r="H1433" s="1" t="s">
        <v>19</v>
      </c>
      <c r="I1433" s="1" t="s">
        <v>20</v>
      </c>
      <c r="J1433" s="1" t="s">
        <v>6579</v>
      </c>
      <c r="K1433" s="1" t="s">
        <v>22</v>
      </c>
      <c r="L1433" s="1" t="str">
        <f>HYPERLINK("https://files.afu.se/Downloads/Transcripts/0%20-%20Government/USA%20-%20NASA%20Kennedy/2011 03 04 - NASA's Kennedy Space Center - Glory Mishap Explanation_iFnGDI1YgpE - transcript (automated).pdf","Transcript Link")</f>
        <v>Transcript Link</v>
      </c>
      <c r="M1433" s="2" t="str">
        <f>HYPERLINK("https://files.afu.se/Downloads/Transcripts/0%20-%20Government/USA%20-%20NASA%20Kennedy/2011 03 04 - NASA's Kennedy Space Center - Glory Mishap Explanation_iFnGDI1YgpE - transcript (automated).pdf","Transcript Link")</f>
        <v>Transcript Link</v>
      </c>
    </row>
    <row r="1434" ht="180" spans="1:13">
      <c r="A1434" s="1" t="s">
        <v>6575</v>
      </c>
      <c r="B1434" s="1" t="s">
        <v>13</v>
      </c>
      <c r="C1434" s="4" t="s">
        <v>6580</v>
      </c>
      <c r="D1434" s="1" t="s">
        <v>6581</v>
      </c>
      <c r="E1434" s="1" t="s">
        <v>6582</v>
      </c>
      <c r="F1434" s="4" t="s">
        <v>17</v>
      </c>
      <c r="G1434" s="1" t="s">
        <v>18</v>
      </c>
      <c r="H1434" s="1" t="s">
        <v>19</v>
      </c>
      <c r="I1434" s="1" t="s">
        <v>20</v>
      </c>
      <c r="J1434" s="1" t="s">
        <v>6583</v>
      </c>
      <c r="K1434" s="1" t="s">
        <v>22</v>
      </c>
      <c r="L1434" s="1" t="str">
        <f>HYPERLINK("https://files.afu.se/Downloads/Transcripts/0%20-%20Government/USA%20-%20NASA%20Kennedy/2011 03 04 - NASA's Kennedy Space Center - Launch of Glory_zpj5Ufw2Cvs - transcript (automated).pdf","Transcript Link")</f>
        <v>Transcript Link</v>
      </c>
      <c r="M1434" s="2" t="str">
        <f>HYPERLINK("https://files.afu.se/Downloads/Transcripts/0%20-%20Government/USA%20-%20NASA%20Kennedy/2011 03 04 - NASA's Kennedy Space Center - Launch of Glory_zpj5Ufw2Cvs - transcript (automated).pdf","Transcript Link")</f>
        <v>Transcript Link</v>
      </c>
    </row>
    <row r="1435" ht="180" spans="1:13">
      <c r="A1435" s="1" t="s">
        <v>6575</v>
      </c>
      <c r="B1435" s="1" t="s">
        <v>13</v>
      </c>
      <c r="C1435" s="4" t="s">
        <v>6584</v>
      </c>
      <c r="D1435" s="1" t="s">
        <v>6585</v>
      </c>
      <c r="E1435" s="1" t="s">
        <v>5710</v>
      </c>
      <c r="F1435" s="4" t="s">
        <v>17</v>
      </c>
      <c r="G1435" s="1" t="s">
        <v>18</v>
      </c>
      <c r="H1435" s="1" t="s">
        <v>19</v>
      </c>
      <c r="I1435" s="1" t="s">
        <v>20</v>
      </c>
      <c r="J1435" s="1" t="s">
        <v>6586</v>
      </c>
      <c r="K1435" s="1" t="s">
        <v>22</v>
      </c>
      <c r="L1435" s="1" t="str">
        <f>HYPERLINK("https://files.afu.se/Downloads/Transcripts/0%20-%20Government/USA%20-%20NASA%20Kennedy/2011 03 04 - NASA's Kennedy Space Center - NASA Glory Launch  Introduction to Commentary_Ycs7ZiznzEk - transcript (automated).pdf","Transcript Link")</f>
        <v>Transcript Link</v>
      </c>
      <c r="M1435" s="2" t="str">
        <f>HYPERLINK("https://files.afu.se/Downloads/Transcripts/0%20-%20Government/USA%20-%20NASA%20Kennedy/2011 03 04 - NASA's Kennedy Space Center - NASA Glory Launch  Introduction to Commentary_Ycs7ZiznzEk - transcript (automated).pdf","Transcript Link")</f>
        <v>Transcript Link</v>
      </c>
    </row>
    <row r="1436" ht="180" spans="1:13">
      <c r="A1436" s="1" t="s">
        <v>6587</v>
      </c>
      <c r="B1436" s="1" t="s">
        <v>13</v>
      </c>
      <c r="C1436" s="4" t="s">
        <v>6588</v>
      </c>
      <c r="D1436" s="1" t="s">
        <v>6589</v>
      </c>
      <c r="E1436" s="1" t="s">
        <v>6590</v>
      </c>
      <c r="F1436" s="4" t="s">
        <v>17</v>
      </c>
      <c r="G1436" s="1" t="s">
        <v>18</v>
      </c>
      <c r="H1436" s="1" t="s">
        <v>19</v>
      </c>
      <c r="I1436" s="1" t="s">
        <v>20</v>
      </c>
      <c r="J1436" s="1" t="s">
        <v>6591</v>
      </c>
      <c r="K1436" s="1" t="s">
        <v>22</v>
      </c>
      <c r="L1436" s="1" t="str">
        <f>HYPERLINK("https://files.afu.se/Downloads/Transcripts/0%20-%20Government/USA%20-%20NASA%20Kennedy/2011 03 03 - NASA's Kennedy Space Center - NASA Glory Vehicle and Spacecraft Flow_Op-fCpNGWt4 - transcript (automated).pdf","Transcript Link")</f>
        <v>Transcript Link</v>
      </c>
      <c r="M1436" s="2" t="str">
        <f>HYPERLINK("https://files.afu.se/Downloads/Transcripts/0%20-%20Government/USA%20-%20NASA%20Kennedy/2011 03 03 - NASA's Kennedy Space Center - NASA Glory Vehicle and Spacecraft Flow_Op-fCpNGWt4 - transcript (automated).pdf","Transcript Link")</f>
        <v>Transcript Link</v>
      </c>
    </row>
    <row r="1437" ht="180" spans="1:13">
      <c r="A1437" s="1" t="s">
        <v>6592</v>
      </c>
      <c r="B1437" s="1" t="s">
        <v>13</v>
      </c>
      <c r="C1437" s="4" t="s">
        <v>6593</v>
      </c>
      <c r="D1437" s="1" t="s">
        <v>6594</v>
      </c>
      <c r="E1437" s="1" t="s">
        <v>6595</v>
      </c>
      <c r="F1437" s="4" t="s">
        <v>17</v>
      </c>
      <c r="G1437" s="1" t="s">
        <v>18</v>
      </c>
      <c r="H1437" s="1" t="s">
        <v>19</v>
      </c>
      <c r="I1437" s="1" t="s">
        <v>20</v>
      </c>
      <c r="J1437" s="1" t="s">
        <v>6596</v>
      </c>
      <c r="K1437" s="1" t="s">
        <v>22</v>
      </c>
      <c r="L1437" s="1" t="str">
        <f>HYPERLINK("https://files.afu.se/Downloads/Transcripts/0%20-%20Government/USA%20-%20NASA%20Kennedy/2011 02 25 - NASA's Kennedy Space Center - STS-133 Launch Coverage  Crew Suitup, Walkout and Drive to Launch Pad_81U6k5pHG84 - transcript (automated).pdf","Transcript Link")</f>
        <v>Transcript Link</v>
      </c>
      <c r="M1437" s="2" t="str">
        <f>HYPERLINK("https://files.afu.se/Downloads/Transcripts/0%20-%20Government/USA%20-%20NASA%20Kennedy/2011 02 25 - NASA's Kennedy Space Center - STS-133 Launch Coverage  Crew Suitup, Walkout and Drive to Launch Pad_81U6k5pHG84 - transcript (automated).pdf","Transcript Link")</f>
        <v>Transcript Link</v>
      </c>
    </row>
    <row r="1438" ht="180" spans="1:13">
      <c r="A1438" s="1" t="s">
        <v>6592</v>
      </c>
      <c r="B1438" s="1" t="s">
        <v>13</v>
      </c>
      <c r="C1438" s="4" t="s">
        <v>6597</v>
      </c>
      <c r="D1438" s="1" t="s">
        <v>6598</v>
      </c>
      <c r="E1438" s="1" t="s">
        <v>6599</v>
      </c>
      <c r="F1438" s="4" t="s">
        <v>17</v>
      </c>
      <c r="G1438" s="1" t="s">
        <v>18</v>
      </c>
      <c r="H1438" s="1" t="s">
        <v>19</v>
      </c>
      <c r="I1438" s="1" t="s">
        <v>20</v>
      </c>
      <c r="J1438" s="1" t="s">
        <v>6600</v>
      </c>
      <c r="K1438" s="1" t="s">
        <v>22</v>
      </c>
      <c r="L1438" s="1" t="str">
        <f>HYPERLINK("https://files.afu.se/Downloads/Transcripts/0%20-%20Government/USA%20-%20NASA%20Kennedy/2011 02 25 - NASA's Kennedy Space Center - STS-133 Launch Replay VAB Roof TV 5_jUHaPzKMxHg - transcript (automated).pdf","Transcript Link")</f>
        <v>Transcript Link</v>
      </c>
      <c r="M1438" s="2" t="str">
        <f>HYPERLINK("https://files.afu.se/Downloads/Transcripts/0%20-%20Government/USA%20-%20NASA%20Kennedy/2011 02 25 - NASA's Kennedy Space Center - STS-133 Launch Replay VAB Roof TV 5_jUHaPzKMxHg - transcript (automated).pdf","Transcript Link")</f>
        <v>Transcript Link</v>
      </c>
    </row>
    <row r="1439" ht="180" spans="1:13">
      <c r="A1439" s="1" t="s">
        <v>6592</v>
      </c>
      <c r="B1439" s="1" t="s">
        <v>13</v>
      </c>
      <c r="C1439" s="4" t="s">
        <v>6601</v>
      </c>
      <c r="D1439" s="1" t="s">
        <v>6602</v>
      </c>
      <c r="E1439" s="1" t="s">
        <v>6599</v>
      </c>
      <c r="F1439" s="4" t="s">
        <v>17</v>
      </c>
      <c r="G1439" s="1" t="s">
        <v>18</v>
      </c>
      <c r="H1439" s="1" t="s">
        <v>19</v>
      </c>
      <c r="I1439" s="1" t="s">
        <v>20</v>
      </c>
      <c r="J1439" s="1" t="s">
        <v>6603</v>
      </c>
      <c r="K1439" s="1" t="s">
        <v>22</v>
      </c>
      <c r="L1439" s="1" t="str">
        <f>HYPERLINK("https://files.afu.se/Downloads/Transcripts/0%20-%20Government/USA%20-%20NASA%20Kennedy/2011 02 25 - NASA's Kennedy Space Center - STS-133 OTV CAM 71__ZmQ5jv_VDU - transcript (automated).pdf","Transcript Link")</f>
        <v>Transcript Link</v>
      </c>
      <c r="M1439" s="2" t="str">
        <f>HYPERLINK("https://files.afu.se/Downloads/Transcripts/0%20-%20Government/USA%20-%20NASA%20Kennedy/2011 02 25 - NASA's Kennedy Space Center - STS-133 OTV CAM 71__ZmQ5jv_VDU - transcript (automated).pdf","Transcript Link")</f>
        <v>Transcript Link</v>
      </c>
    </row>
    <row r="1440" ht="180" spans="1:13">
      <c r="A1440" s="1" t="s">
        <v>6592</v>
      </c>
      <c r="B1440" s="1" t="s">
        <v>13</v>
      </c>
      <c r="C1440" s="4" t="s">
        <v>6604</v>
      </c>
      <c r="D1440" s="1" t="s">
        <v>6605</v>
      </c>
      <c r="E1440" s="1" t="s">
        <v>6606</v>
      </c>
      <c r="F1440" s="4" t="s">
        <v>17</v>
      </c>
      <c r="G1440" s="1" t="s">
        <v>18</v>
      </c>
      <c r="H1440" s="1" t="s">
        <v>19</v>
      </c>
      <c r="I1440" s="1" t="s">
        <v>20</v>
      </c>
      <c r="J1440" s="1" t="s">
        <v>6607</v>
      </c>
      <c r="K1440" s="1" t="s">
        <v>22</v>
      </c>
      <c r="L1440" s="1" t="str">
        <f>HYPERLINK("https://files.afu.se/Downloads/Transcripts/0%20-%20Government/USA%20-%20NASA%20Kennedy/2011 02 25 - NASA's Kennedy Space Center - STS-133 Launch Replay OTV CAM 70_4-1Oo8OfqHg - transcript (automated).pdf","Transcript Link")</f>
        <v>Transcript Link</v>
      </c>
      <c r="M1440" s="2" t="str">
        <f>HYPERLINK("https://files.afu.se/Downloads/Transcripts/0%20-%20Government/USA%20-%20NASA%20Kennedy/2011 02 25 - NASA's Kennedy Space Center - STS-133 Launch Replay OTV CAM 70_4-1Oo8OfqHg - transcript (automated).pdf","Transcript Link")</f>
        <v>Transcript Link</v>
      </c>
    </row>
    <row r="1441" ht="195" spans="1:13">
      <c r="A1441" s="1" t="s">
        <v>6592</v>
      </c>
      <c r="B1441" s="1" t="s">
        <v>13</v>
      </c>
      <c r="C1441" s="4" t="s">
        <v>6608</v>
      </c>
      <c r="D1441" s="1" t="s">
        <v>6609</v>
      </c>
      <c r="E1441" s="1" t="s">
        <v>6610</v>
      </c>
      <c r="F1441" s="4" t="s">
        <v>17</v>
      </c>
      <c r="G1441" s="1" t="s">
        <v>18</v>
      </c>
      <c r="H1441" s="1" t="s">
        <v>19</v>
      </c>
      <c r="I1441" s="1" t="s">
        <v>20</v>
      </c>
      <c r="J1441" s="1" t="s">
        <v>6611</v>
      </c>
      <c r="K1441" s="1" t="s">
        <v>22</v>
      </c>
      <c r="L1441" s="1" t="str">
        <f>HYPERLINK("https://files.afu.se/Downloads/Transcripts/0%20-%20Government/USA%20-%20NASA%20Kennedy/2011 02 25 - NASA's Kennedy Space Center - STS-133 Launch Replay UCS-15 (TV-21A)_4Zjceqkrtjo - transcript (automated).pdf","Transcript Link")</f>
        <v>Transcript Link</v>
      </c>
      <c r="M1441" s="2" t="str">
        <f>HYPERLINK("https://files.afu.se/Downloads/Transcripts/0%20-%20Government/USA%20-%20NASA%20Kennedy/2011 02 25 - NASA's Kennedy Space Center - STS-133 Launch Replay UCS-15 (TV-21A)_4Zjceqkrtjo - transcript (automated).pdf","Transcript Link")</f>
        <v>Transcript Link</v>
      </c>
    </row>
    <row r="1442" ht="180" spans="1:13">
      <c r="A1442" s="1" t="s">
        <v>6612</v>
      </c>
      <c r="B1442" s="1" t="s">
        <v>13</v>
      </c>
      <c r="C1442" s="4" t="s">
        <v>6613</v>
      </c>
      <c r="D1442" s="1" t="s">
        <v>6614</v>
      </c>
      <c r="E1442" s="1" t="s">
        <v>6615</v>
      </c>
      <c r="F1442" s="4" t="s">
        <v>17</v>
      </c>
      <c r="G1442" s="1" t="s">
        <v>18</v>
      </c>
      <c r="H1442" s="1" t="s">
        <v>19</v>
      </c>
      <c r="I1442" s="1" t="s">
        <v>20</v>
      </c>
      <c r="J1442" s="1" t="s">
        <v>6616</v>
      </c>
      <c r="K1442" s="1" t="s">
        <v>22</v>
      </c>
      <c r="L1442" s="1" t="str">
        <f>HYPERLINK("https://files.afu.se/Downloads/Transcripts/0%20-%20Government/USA%20-%20NASA%20Kennedy/2011 02 24 - NASA's Kennedy Space Center - STS-133 External Tank Jettison_NpmqK24SCvI - transcript (automated).pdf","Transcript Link")</f>
        <v>Transcript Link</v>
      </c>
      <c r="M1442" s="2" t="str">
        <f>HYPERLINK("https://files.afu.se/Downloads/Transcripts/0%20-%20Government/USA%20-%20NASA%20Kennedy/2011 02 24 - NASA's Kennedy Space Center - STS-133 External Tank Jettison_NpmqK24SCvI - transcript (automated).pdf","Transcript Link")</f>
        <v>Transcript Link</v>
      </c>
    </row>
    <row r="1443" ht="180" spans="1:13">
      <c r="A1443" s="1" t="s">
        <v>6612</v>
      </c>
      <c r="B1443" s="1" t="s">
        <v>13</v>
      </c>
      <c r="C1443" s="4" t="s">
        <v>6617</v>
      </c>
      <c r="D1443" s="1" t="s">
        <v>6618</v>
      </c>
      <c r="E1443" s="1" t="s">
        <v>6619</v>
      </c>
      <c r="F1443" s="4" t="s">
        <v>17</v>
      </c>
      <c r="G1443" s="1" t="s">
        <v>18</v>
      </c>
      <c r="H1443" s="1" t="s">
        <v>19</v>
      </c>
      <c r="I1443" s="1" t="s">
        <v>20</v>
      </c>
      <c r="J1443" s="1" t="s">
        <v>6620</v>
      </c>
      <c r="K1443" s="1" t="s">
        <v>22</v>
      </c>
      <c r="L1443" s="1" t="str">
        <f>HYPERLINK("https://files.afu.se/Downloads/Transcripts/0%20-%20Government/USA%20-%20NASA%20Kennedy/2011 02 24 - NASA's Kennedy Space Center - STS-133 Launch Coverage  Poll for Launch_1xfmxhFLaGM - transcript (automated).pdf","Transcript Link")</f>
        <v>Transcript Link</v>
      </c>
      <c r="M1443" s="2" t="str">
        <f>HYPERLINK("https://files.afu.se/Downloads/Transcripts/0%20-%20Government/USA%20-%20NASA%20Kennedy/2011 02 24 - NASA's Kennedy Space Center - STS-133 Launch Coverage  Poll for Launch_1xfmxhFLaGM - transcript (automated).pdf","Transcript Link")</f>
        <v>Transcript Link</v>
      </c>
    </row>
    <row r="1444" ht="195" spans="1:13">
      <c r="A1444" s="1" t="s">
        <v>6612</v>
      </c>
      <c r="B1444" s="1" t="s">
        <v>13</v>
      </c>
      <c r="C1444" s="4" t="s">
        <v>6621</v>
      </c>
      <c r="D1444" s="1" t="s">
        <v>6622</v>
      </c>
      <c r="E1444" s="1" t="s">
        <v>6623</v>
      </c>
      <c r="F1444" s="4" t="s">
        <v>17</v>
      </c>
      <c r="G1444" s="1" t="s">
        <v>18</v>
      </c>
      <c r="H1444" s="1" t="s">
        <v>19</v>
      </c>
      <c r="I1444" s="1" t="s">
        <v>20</v>
      </c>
      <c r="J1444" s="1" t="s">
        <v>6624</v>
      </c>
      <c r="K1444" s="1" t="s">
        <v>22</v>
      </c>
      <c r="L1444" s="1" t="str">
        <f>HYPERLINK("https://files.afu.se/Downloads/Transcripts/0%20-%20Government/USA%20-%20NASA%20Kennedy/2011 02 24 - NASA's Kennedy Space Center - STS-133 Space Shuttle Launch_RxFwUG9PiYM - transcript (automated).pdf","Transcript Link")</f>
        <v>Transcript Link</v>
      </c>
      <c r="M1444" s="2" t="str">
        <f>HYPERLINK("https://files.afu.se/Downloads/Transcripts/0%20-%20Government/USA%20-%20NASA%20Kennedy/2011 02 24 - NASA's Kennedy Space Center - STS-133 Space Shuttle Launch_RxFwUG9PiYM - transcript (automated).pdf","Transcript Link")</f>
        <v>Transcript Link</v>
      </c>
    </row>
    <row r="1445" ht="180" spans="1:13">
      <c r="A1445" s="1" t="s">
        <v>6612</v>
      </c>
      <c r="B1445" s="1" t="s">
        <v>13</v>
      </c>
      <c r="C1445" s="4" t="s">
        <v>6625</v>
      </c>
      <c r="D1445" s="1" t="s">
        <v>6626</v>
      </c>
      <c r="E1445" s="1" t="s">
        <v>6627</v>
      </c>
      <c r="F1445" s="4" t="s">
        <v>17</v>
      </c>
      <c r="G1445" s="1" t="s">
        <v>18</v>
      </c>
      <c r="H1445" s="1" t="s">
        <v>19</v>
      </c>
      <c r="I1445" s="1" t="s">
        <v>20</v>
      </c>
      <c r="J1445" s="1" t="s">
        <v>6628</v>
      </c>
      <c r="K1445" s="1" t="s">
        <v>22</v>
      </c>
      <c r="L1445" s="1" t="str">
        <f>HYPERLINK("https://files.afu.se/Downloads/Transcripts/0%20-%20Government/USA%20-%20NASA%20Kennedy/2011 02 24 - NASA's Kennedy Space Center - STS-133 Crew Ingress_MlTmMwvToRc - transcript (automated).pdf","Transcript Link")</f>
        <v>Transcript Link</v>
      </c>
      <c r="M1445" s="2" t="str">
        <f>HYPERLINK("https://files.afu.se/Downloads/Transcripts/0%20-%20Government/USA%20-%20NASA%20Kennedy/2011 02 24 - NASA's Kennedy Space Center - STS-133 Crew Ingress_MlTmMwvToRc - transcript (automated).pdf","Transcript Link")</f>
        <v>Transcript Link</v>
      </c>
    </row>
    <row r="1446" ht="180" spans="1:13">
      <c r="A1446" s="1" t="s">
        <v>6612</v>
      </c>
      <c r="B1446" s="1" t="s">
        <v>13</v>
      </c>
      <c r="C1446" s="4" t="s">
        <v>6629</v>
      </c>
      <c r="D1446" s="1" t="s">
        <v>6630</v>
      </c>
      <c r="E1446" s="1" t="s">
        <v>6631</v>
      </c>
      <c r="F1446" s="4" t="s">
        <v>17</v>
      </c>
      <c r="G1446" s="1" t="s">
        <v>18</v>
      </c>
      <c r="H1446" s="1" t="s">
        <v>19</v>
      </c>
      <c r="I1446" s="1" t="s">
        <v>20</v>
      </c>
      <c r="J1446" s="1" t="s">
        <v>6632</v>
      </c>
      <c r="K1446" s="1" t="s">
        <v>22</v>
      </c>
      <c r="L1446" s="1" t="str">
        <f>HYPERLINK("https://files.afu.se/Downloads/Transcripts/0%20-%20Government/USA%20-%20NASA%20Kennedy/2011 02 24 - NASA's Kennedy Space Center - STS-133 Launch Coverage  Introduction to Commentary_45UAX5U892Q - transcript (automated).pdf","Transcript Link")</f>
        <v>Transcript Link</v>
      </c>
      <c r="M1446" s="2" t="str">
        <f>HYPERLINK("https://files.afu.se/Downloads/Transcripts/0%20-%20Government/USA%20-%20NASA%20Kennedy/2011 02 24 - NASA's Kennedy Space Center - STS-133 Launch Coverage  Introduction to Commentary_45UAX5U892Q - transcript (automated).pdf","Transcript Link")</f>
        <v>Transcript Link</v>
      </c>
    </row>
    <row r="1447" ht="180" spans="1:13">
      <c r="A1447" s="1" t="s">
        <v>6633</v>
      </c>
      <c r="B1447" s="1" t="s">
        <v>13</v>
      </c>
      <c r="C1447" s="4" t="s">
        <v>6634</v>
      </c>
      <c r="D1447" s="1" t="s">
        <v>6635</v>
      </c>
      <c r="E1447" s="1" t="s">
        <v>6636</v>
      </c>
      <c r="F1447" s="4" t="s">
        <v>17</v>
      </c>
      <c r="G1447" s="1" t="s">
        <v>18</v>
      </c>
      <c r="H1447" s="1" t="s">
        <v>19</v>
      </c>
      <c r="I1447" s="1" t="s">
        <v>20</v>
      </c>
      <c r="J1447" s="1" t="s">
        <v>6637</v>
      </c>
      <c r="K1447" s="1" t="s">
        <v>22</v>
      </c>
      <c r="L1447" s="1" t="str">
        <f>HYPERLINK("https://files.afu.se/Downloads/Transcripts/0%20-%20Government/USA%20-%20NASA%20Kennedy/2011 02 23 - NASA's Kennedy Space Center - Glory Launch Coverage  Scrub Discussion_ZOdejadSgaw - transcript (automated).pdf","Transcript Link")</f>
        <v>Transcript Link</v>
      </c>
      <c r="M1447" s="2" t="str">
        <f>HYPERLINK("https://files.afu.se/Downloads/Transcripts/0%20-%20Government/USA%20-%20NASA%20Kennedy/2011 02 23 - NASA's Kennedy Space Center - Glory Launch Coverage  Scrub Discussion_ZOdejadSgaw - transcript (automated).pdf","Transcript Link")</f>
        <v>Transcript Link</v>
      </c>
    </row>
    <row r="1448" ht="180" spans="1:13">
      <c r="A1448" s="1" t="s">
        <v>6633</v>
      </c>
      <c r="B1448" s="1" t="s">
        <v>13</v>
      </c>
      <c r="C1448" s="4" t="s">
        <v>6638</v>
      </c>
      <c r="D1448" s="1" t="s">
        <v>6639</v>
      </c>
      <c r="F1448" s="4" t="s">
        <v>17</v>
      </c>
      <c r="G1448" s="1" t="s">
        <v>18</v>
      </c>
      <c r="H1448" s="1" t="s">
        <v>19</v>
      </c>
      <c r="I1448" s="1" t="s">
        <v>20</v>
      </c>
      <c r="J1448" s="1" t="s">
        <v>6640</v>
      </c>
      <c r="K1448" s="1" t="s">
        <v>22</v>
      </c>
      <c r="L1448" s="1" t="str">
        <f>HYPERLINK("https://files.afu.se/Downloads/Transcripts/0%20-%20Government/USA%20-%20NASA%20Kennedy/2011 02 23 - NASA's Kennedy Space Center - Glory Final Launch Readiness Poll_lR5zQtDhj9M - transcript (automated).pdf","Transcript Link")</f>
        <v>Transcript Link</v>
      </c>
      <c r="M1448" s="2" t="str">
        <f>HYPERLINK("https://files.afu.se/Downloads/Transcripts/0%20-%20Government/USA%20-%20NASA%20Kennedy/2011 02 23 - NASA's Kennedy Space Center - Glory Final Launch Readiness Poll_lR5zQtDhj9M - transcript (automated).pdf","Transcript Link")</f>
        <v>Transcript Link</v>
      </c>
    </row>
    <row r="1449" ht="180" spans="1:13">
      <c r="A1449" s="1" t="s">
        <v>6633</v>
      </c>
      <c r="B1449" s="1" t="s">
        <v>13</v>
      </c>
      <c r="C1449" s="4" t="s">
        <v>6641</v>
      </c>
      <c r="D1449" s="1" t="s">
        <v>6642</v>
      </c>
      <c r="E1449" s="1" t="s">
        <v>6643</v>
      </c>
      <c r="F1449" s="4" t="s">
        <v>17</v>
      </c>
      <c r="G1449" s="1" t="s">
        <v>18</v>
      </c>
      <c r="H1449" s="1" t="s">
        <v>19</v>
      </c>
      <c r="I1449" s="1" t="s">
        <v>20</v>
      </c>
      <c r="J1449" s="1" t="s">
        <v>6644</v>
      </c>
      <c r="K1449" s="1" t="s">
        <v>22</v>
      </c>
      <c r="L1449" s="1" t="str">
        <f>HYPERLINK("https://files.afu.se/Downloads/Transcripts/0%20-%20Government/USA%20-%20NASA%20Kennedy/2011 02 23 - NASA's Kennedy Space Center - Glory Launch Coverage Begins_RGG5wxM6QfY - transcript (automated).pdf","Transcript Link")</f>
        <v>Transcript Link</v>
      </c>
      <c r="M1449" s="2" t="str">
        <f>HYPERLINK("https://files.afu.se/Downloads/Transcripts/0%20-%20Government/USA%20-%20NASA%20Kennedy/2011 02 23 - NASA's Kennedy Space Center - Glory Launch Coverage Begins_RGG5wxM6QfY - transcript (automated).pdf","Transcript Link")</f>
        <v>Transcript Link</v>
      </c>
    </row>
    <row r="1450" ht="195" spans="1:13">
      <c r="A1450" s="1" t="s">
        <v>6645</v>
      </c>
      <c r="B1450" s="1" t="s">
        <v>13</v>
      </c>
      <c r="C1450" s="4" t="s">
        <v>6646</v>
      </c>
      <c r="D1450" s="1" t="s">
        <v>6647</v>
      </c>
      <c r="E1450" s="1" t="s">
        <v>6648</v>
      </c>
      <c r="F1450" s="4" t="s">
        <v>17</v>
      </c>
      <c r="G1450" s="1" t="s">
        <v>18</v>
      </c>
      <c r="H1450" s="1" t="s">
        <v>19</v>
      </c>
      <c r="I1450" s="1" t="s">
        <v>20</v>
      </c>
      <c r="J1450" s="1" t="s">
        <v>6649</v>
      </c>
      <c r="K1450" s="1" t="s">
        <v>22</v>
      </c>
      <c r="L1450" s="1" t="str">
        <f>HYPERLINK("https://files.afu.se/Downloads/Transcripts/0%20-%20Government/USA%20-%20NASA%20Kennedy/2011 02 22 - NASA's Kennedy Space Center - Kennedy Space Center Hosts the 9 11 Memorial Flag_iC7f20bCSHA - transcript (automated).pdf","Transcript Link")</f>
        <v>Transcript Link</v>
      </c>
      <c r="M1450" s="2" t="str">
        <f>HYPERLINK("https://files.afu.se/Downloads/Transcripts/0%20-%20Government/USA%20-%20NASA%20Kennedy/2011 02 22 - NASA's Kennedy Space Center - Kennedy Space Center Hosts the 9 11 Memorial Flag_iC7f20bCSHA - transcript (automated).pdf","Transcript Link")</f>
        <v>Transcript Link</v>
      </c>
    </row>
    <row r="1451" ht="180" spans="1:13">
      <c r="A1451" s="1" t="s">
        <v>6645</v>
      </c>
      <c r="B1451" s="1" t="s">
        <v>13</v>
      </c>
      <c r="C1451" s="4" t="s">
        <v>6650</v>
      </c>
      <c r="D1451" s="1" t="s">
        <v>6651</v>
      </c>
      <c r="E1451" s="1" t="s">
        <v>6652</v>
      </c>
      <c r="F1451" s="4" t="s">
        <v>17</v>
      </c>
      <c r="G1451" s="1" t="s">
        <v>18</v>
      </c>
      <c r="H1451" s="1" t="s">
        <v>19</v>
      </c>
      <c r="I1451" s="1" t="s">
        <v>20</v>
      </c>
      <c r="J1451" s="1" t="s">
        <v>6653</v>
      </c>
      <c r="K1451" s="1" t="s">
        <v>22</v>
      </c>
      <c r="L1451" s="1" t="str">
        <f>HYPERLINK("https://files.afu.se/Downloads/Transcripts/0%20-%20Government/USA%20-%20NASA%20Kennedy/2011 02 22 - NASA's Kennedy Space Center - NASA's Launch Services Program Mission  Glory_ul7aDObjDlw - transcript (automated).pdf","Transcript Link")</f>
        <v>Transcript Link</v>
      </c>
      <c r="M1451" s="2" t="str">
        <f>HYPERLINK("https://files.afu.se/Downloads/Transcripts/0%20-%20Government/USA%20-%20NASA%20Kennedy/2011 02 22 - NASA's Kennedy Space Center - NASA's Launch Services Program Mission  Glory_ul7aDObjDlw - transcript (automated).pdf","Transcript Link")</f>
        <v>Transcript Link</v>
      </c>
    </row>
    <row r="1452" ht="225" spans="1:13">
      <c r="A1452" s="1" t="s">
        <v>6654</v>
      </c>
      <c r="B1452" s="1" t="s">
        <v>13</v>
      </c>
      <c r="C1452" s="4" t="s">
        <v>6655</v>
      </c>
      <c r="D1452" s="1" t="s">
        <v>6656</v>
      </c>
      <c r="E1452" s="1" t="s">
        <v>6657</v>
      </c>
      <c r="F1452" s="4" t="s">
        <v>17</v>
      </c>
      <c r="G1452" s="1" t="s">
        <v>18</v>
      </c>
      <c r="H1452" s="1" t="s">
        <v>19</v>
      </c>
      <c r="I1452" s="1" t="s">
        <v>20</v>
      </c>
      <c r="J1452" s="1" t="s">
        <v>6658</v>
      </c>
      <c r="K1452" s="1" t="s">
        <v>22</v>
      </c>
      <c r="L1452" s="1" t="str">
        <f>HYPERLINK("https://files.afu.se/Downloads/Transcripts/0%20-%20Government/USA%20-%20NASA%20Kennedy/2011 02 16 - NASA's Kennedy Space Center - VAB Wall Signing  Timothy Jace_K0kMxTpRo_Y - transcript (automated).pdf","Transcript Link")</f>
        <v>Transcript Link</v>
      </c>
      <c r="M1452" s="2" t="str">
        <f>HYPERLINK("https://files.afu.se/Downloads/Transcripts/0%20-%20Government/USA%20-%20NASA%20Kennedy/2011 02 16 - NASA's Kennedy Space Center - VAB Wall Signing  Timothy Jace_K0kMxTpRo_Y - transcript (automated).pdf","Transcript Link")</f>
        <v>Transcript Link</v>
      </c>
    </row>
    <row r="1453" ht="225" spans="1:13">
      <c r="A1453" s="1" t="s">
        <v>6654</v>
      </c>
      <c r="B1453" s="1" t="s">
        <v>13</v>
      </c>
      <c r="C1453" s="4" t="s">
        <v>6659</v>
      </c>
      <c r="D1453" s="1" t="s">
        <v>6660</v>
      </c>
      <c r="E1453" s="1" t="s">
        <v>6657</v>
      </c>
      <c r="F1453" s="4" t="s">
        <v>17</v>
      </c>
      <c r="G1453" s="1" t="s">
        <v>18</v>
      </c>
      <c r="H1453" s="1" t="s">
        <v>19</v>
      </c>
      <c r="I1453" s="1" t="s">
        <v>20</v>
      </c>
      <c r="J1453" s="1" t="s">
        <v>6661</v>
      </c>
      <c r="K1453" s="1" t="s">
        <v>22</v>
      </c>
      <c r="L1453" s="1" t="str">
        <f>HYPERLINK("https://files.afu.se/Downloads/Transcripts/0%20-%20Government/USA%20-%20NASA%20Kennedy/2011 02 16 - NASA's Kennedy Space Center - VAB Wall Signing  Tammy Adkison_oya-oPxxCqA - transcript (automated).pdf","Transcript Link")</f>
        <v>Transcript Link</v>
      </c>
      <c r="M1453" s="2" t="str">
        <f>HYPERLINK("https://files.afu.se/Downloads/Transcripts/0%20-%20Government/USA%20-%20NASA%20Kennedy/2011 02 16 - NASA's Kennedy Space Center - VAB Wall Signing  Tammy Adkison_oya-oPxxCqA - transcript (automated).pdf","Transcript Link")</f>
        <v>Transcript Link</v>
      </c>
    </row>
    <row r="1454" ht="225" spans="1:13">
      <c r="A1454" s="1" t="s">
        <v>6654</v>
      </c>
      <c r="B1454" s="1" t="s">
        <v>13</v>
      </c>
      <c r="C1454" s="4" t="s">
        <v>6662</v>
      </c>
      <c r="D1454" s="1" t="s">
        <v>6663</v>
      </c>
      <c r="E1454" s="1" t="s">
        <v>6657</v>
      </c>
      <c r="F1454" s="4" t="s">
        <v>17</v>
      </c>
      <c r="G1454" s="1" t="s">
        <v>18</v>
      </c>
      <c r="H1454" s="1" t="s">
        <v>19</v>
      </c>
      <c r="I1454" s="1" t="s">
        <v>20</v>
      </c>
      <c r="J1454" s="1" t="s">
        <v>6664</v>
      </c>
      <c r="K1454" s="1" t="s">
        <v>22</v>
      </c>
      <c r="L1454" s="1" t="str">
        <f>HYPERLINK("https://files.afu.se/Downloads/Transcripts/0%20-%20Government/USA%20-%20NASA%20Kennedy/2011 02 16 - NASA's Kennedy Space Center - VAB Wall Signing  Tamaria Crabtree_2AEUesjTeNM - transcript (automated).pdf","Transcript Link")</f>
        <v>Transcript Link</v>
      </c>
      <c r="M1454" s="2" t="str">
        <f>HYPERLINK("https://files.afu.se/Downloads/Transcripts/0%20-%20Government/USA%20-%20NASA%20Kennedy/2011 02 16 - NASA's Kennedy Space Center - VAB Wall Signing  Tamaria Crabtree_2AEUesjTeNM - transcript (automated).pdf","Transcript Link")</f>
        <v>Transcript Link</v>
      </c>
    </row>
    <row r="1455" ht="225" spans="1:13">
      <c r="A1455" s="1" t="s">
        <v>6654</v>
      </c>
      <c r="B1455" s="1" t="s">
        <v>13</v>
      </c>
      <c r="C1455" s="4" t="s">
        <v>6665</v>
      </c>
      <c r="D1455" s="1" t="s">
        <v>6666</v>
      </c>
      <c r="E1455" s="1" t="s">
        <v>6657</v>
      </c>
      <c r="F1455" s="4" t="s">
        <v>17</v>
      </c>
      <c r="G1455" s="1" t="s">
        <v>18</v>
      </c>
      <c r="H1455" s="1" t="s">
        <v>19</v>
      </c>
      <c r="I1455" s="1" t="s">
        <v>20</v>
      </c>
      <c r="J1455" s="1" t="s">
        <v>6667</v>
      </c>
      <c r="K1455" s="1" t="s">
        <v>22</v>
      </c>
      <c r="L1455" s="1" t="str">
        <f>HYPERLINK("https://files.afu.se/Downloads/Transcripts/0%20-%20Government/USA%20-%20NASA%20Kennedy/2011 02 16 - NASA's Kennedy Space Center - VAB Wall Signing  Suzane Stuckey_o5P1HKAMiDQ - transcript (automated).pdf","Transcript Link")</f>
        <v>Transcript Link</v>
      </c>
      <c r="M1455" s="2" t="str">
        <f>HYPERLINK("https://files.afu.se/Downloads/Transcripts/0%20-%20Government/USA%20-%20NASA%20Kennedy/2011 02 16 - NASA's Kennedy Space Center - VAB Wall Signing  Suzane Stuckey_o5P1HKAMiDQ - transcript (automated).pdf","Transcript Link")</f>
        <v>Transcript Link</v>
      </c>
    </row>
    <row r="1456" ht="225" spans="1:13">
      <c r="A1456" s="1" t="s">
        <v>6654</v>
      </c>
      <c r="B1456" s="1" t="s">
        <v>13</v>
      </c>
      <c r="C1456" s="4" t="s">
        <v>6668</v>
      </c>
      <c r="D1456" s="1" t="s">
        <v>6669</v>
      </c>
      <c r="E1456" s="1" t="s">
        <v>6657</v>
      </c>
      <c r="F1456" s="4" t="s">
        <v>17</v>
      </c>
      <c r="G1456" s="1" t="s">
        <v>18</v>
      </c>
      <c r="H1456" s="1" t="s">
        <v>19</v>
      </c>
      <c r="I1456" s="1" t="s">
        <v>20</v>
      </c>
      <c r="J1456" s="1" t="s">
        <v>6670</v>
      </c>
      <c r="K1456" s="1" t="s">
        <v>22</v>
      </c>
      <c r="L1456" s="1" t="str">
        <f>HYPERLINK("https://files.afu.se/Downloads/Transcripts/0%20-%20Government/USA%20-%20NASA%20Kennedy/2011 02 16 - NASA's Kennedy Space Center - VAB Wall Signing  Sharon Jones_xy_Hd95_-UA - transcript (automated).pdf","Transcript Link")</f>
        <v>Transcript Link</v>
      </c>
      <c r="M1456" s="2" t="str">
        <f>HYPERLINK("https://files.afu.se/Downloads/Transcripts/0%20-%20Government/USA%20-%20NASA%20Kennedy/2011 02 16 - NASA's Kennedy Space Center - VAB Wall Signing  Sharon Jones_xy_Hd95_-UA - transcript (automated).pdf","Transcript Link")</f>
        <v>Transcript Link</v>
      </c>
    </row>
    <row r="1457" ht="225" spans="1:13">
      <c r="A1457" s="1" t="s">
        <v>6654</v>
      </c>
      <c r="B1457" s="1" t="s">
        <v>13</v>
      </c>
      <c r="C1457" s="4" t="s">
        <v>6671</v>
      </c>
      <c r="D1457" s="1" t="s">
        <v>6672</v>
      </c>
      <c r="E1457" s="1" t="s">
        <v>6657</v>
      </c>
      <c r="F1457" s="4" t="s">
        <v>17</v>
      </c>
      <c r="G1457" s="1" t="s">
        <v>18</v>
      </c>
      <c r="H1457" s="1" t="s">
        <v>19</v>
      </c>
      <c r="I1457" s="1" t="s">
        <v>20</v>
      </c>
      <c r="J1457" s="1" t="s">
        <v>6673</v>
      </c>
      <c r="K1457" s="1" t="s">
        <v>22</v>
      </c>
      <c r="L1457" s="1" t="str">
        <f>HYPERLINK("https://files.afu.se/Downloads/Transcripts/0%20-%20Government/USA%20-%20NASA%20Kennedy/2011 02 16 - NASA's Kennedy Space Center - VAB Wall Signing  Roland Benoit_f_dfjy2B5bo - transcript (automated).pdf","Transcript Link")</f>
        <v>Transcript Link</v>
      </c>
      <c r="M1457" s="2" t="str">
        <f>HYPERLINK("https://files.afu.se/Downloads/Transcripts/0%20-%20Government/USA%20-%20NASA%20Kennedy/2011 02 16 - NASA's Kennedy Space Center - VAB Wall Signing  Roland Benoit_f_dfjy2B5bo - transcript (automated).pdf","Transcript Link")</f>
        <v>Transcript Link</v>
      </c>
    </row>
    <row r="1458" ht="225" spans="1:13">
      <c r="A1458" s="1" t="s">
        <v>6654</v>
      </c>
      <c r="B1458" s="1" t="s">
        <v>13</v>
      </c>
      <c r="C1458" s="4" t="s">
        <v>6674</v>
      </c>
      <c r="D1458" s="1" t="s">
        <v>6675</v>
      </c>
      <c r="E1458" s="1" t="s">
        <v>6657</v>
      </c>
      <c r="F1458" s="4" t="s">
        <v>17</v>
      </c>
      <c r="G1458" s="1" t="s">
        <v>18</v>
      </c>
      <c r="H1458" s="1" t="s">
        <v>19</v>
      </c>
      <c r="I1458" s="1" t="s">
        <v>20</v>
      </c>
      <c r="J1458" s="1" t="s">
        <v>6676</v>
      </c>
      <c r="K1458" s="1" t="s">
        <v>22</v>
      </c>
      <c r="L1458" s="1" t="str">
        <f>HYPERLINK("https://files.afu.se/Downloads/Transcripts/0%20-%20Government/USA%20-%20NASA%20Kennedy/2011 02 16 - NASA's Kennedy Space Center - VAB Wall Signing  Randy Miner_6EW_DWB-Ea8 - transcript (automated).pdf","Transcript Link")</f>
        <v>Transcript Link</v>
      </c>
      <c r="M1458" s="2" t="str">
        <f>HYPERLINK("https://files.afu.se/Downloads/Transcripts/0%20-%20Government/USA%20-%20NASA%20Kennedy/2011 02 16 - NASA's Kennedy Space Center - VAB Wall Signing  Randy Miner_6EW_DWB-Ea8 - transcript (automated).pdf","Transcript Link")</f>
        <v>Transcript Link</v>
      </c>
    </row>
    <row r="1459" ht="225" spans="1:13">
      <c r="A1459" s="1" t="s">
        <v>6654</v>
      </c>
      <c r="B1459" s="1" t="s">
        <v>13</v>
      </c>
      <c r="C1459" s="4" t="s">
        <v>6677</v>
      </c>
      <c r="D1459" s="1" t="s">
        <v>6678</v>
      </c>
      <c r="E1459" s="1" t="s">
        <v>6657</v>
      </c>
      <c r="F1459" s="4" t="s">
        <v>17</v>
      </c>
      <c r="G1459" s="1" t="s">
        <v>18</v>
      </c>
      <c r="H1459" s="1" t="s">
        <v>19</v>
      </c>
      <c r="I1459" s="1" t="s">
        <v>20</v>
      </c>
      <c r="J1459" s="1" t="s">
        <v>6679</v>
      </c>
      <c r="K1459" s="1" t="s">
        <v>22</v>
      </c>
      <c r="L1459" s="1" t="str">
        <f>HYPERLINK("https://files.afu.se/Downloads/Transcripts/0%20-%20Government/USA%20-%20NASA%20Kennedy/2011 02 16 - NASA's Kennedy Space Center - VAB Wall Signing  Rami Intriago_h_sSc6hTjMk - transcript (automated).pdf","Transcript Link")</f>
        <v>Transcript Link</v>
      </c>
      <c r="M1459" s="2" t="str">
        <f>HYPERLINK("https://files.afu.se/Downloads/Transcripts/0%20-%20Government/USA%20-%20NASA%20Kennedy/2011 02 16 - NASA's Kennedy Space Center - VAB Wall Signing  Rami Intriago_h_sSc6hTjMk - transcript (automated).pdf","Transcript Link")</f>
        <v>Transcript Link</v>
      </c>
    </row>
    <row r="1460" ht="225" spans="1:13">
      <c r="A1460" s="1" t="s">
        <v>6654</v>
      </c>
      <c r="B1460" s="1" t="s">
        <v>13</v>
      </c>
      <c r="C1460" s="4" t="s">
        <v>6680</v>
      </c>
      <c r="D1460" s="1" t="s">
        <v>6681</v>
      </c>
      <c r="E1460" s="1" t="s">
        <v>6657</v>
      </c>
      <c r="F1460" s="4" t="s">
        <v>17</v>
      </c>
      <c r="G1460" s="1" t="s">
        <v>18</v>
      </c>
      <c r="H1460" s="1" t="s">
        <v>19</v>
      </c>
      <c r="I1460" s="1" t="s">
        <v>20</v>
      </c>
      <c r="J1460" s="1" t="s">
        <v>6682</v>
      </c>
      <c r="K1460" s="1" t="s">
        <v>22</v>
      </c>
      <c r="L1460" s="1" t="str">
        <f>HYPERLINK("https://files.afu.se/Downloads/Transcripts/0%20-%20Government/USA%20-%20NASA%20Kennedy/2011 02 16 - NASA's Kennedy Space Center - VAB Wall Signing   Orlando Brown_eUPeGKeb5Tc - transcript (automated).pdf","Transcript Link")</f>
        <v>Transcript Link</v>
      </c>
      <c r="M1460" s="2" t="str">
        <f>HYPERLINK("https://files.afu.se/Downloads/Transcripts/0%20-%20Government/USA%20-%20NASA%20Kennedy/2011 02 16 - NASA's Kennedy Space Center - VAB Wall Signing   Orlando Brown_eUPeGKeb5Tc - transcript (automated).pdf","Transcript Link")</f>
        <v>Transcript Link</v>
      </c>
    </row>
    <row r="1461" ht="225" spans="1:13">
      <c r="A1461" s="1" t="s">
        <v>6654</v>
      </c>
      <c r="B1461" s="1" t="s">
        <v>13</v>
      </c>
      <c r="C1461" s="4" t="s">
        <v>6683</v>
      </c>
      <c r="D1461" s="1" t="s">
        <v>6684</v>
      </c>
      <c r="E1461" s="1" t="s">
        <v>6657</v>
      </c>
      <c r="F1461" s="4" t="s">
        <v>17</v>
      </c>
      <c r="G1461" s="1" t="s">
        <v>18</v>
      </c>
      <c r="H1461" s="1" t="s">
        <v>19</v>
      </c>
      <c r="I1461" s="1" t="s">
        <v>20</v>
      </c>
      <c r="J1461" s="1" t="s">
        <v>6685</v>
      </c>
      <c r="K1461" s="1" t="s">
        <v>22</v>
      </c>
      <c r="L1461" s="1" t="str">
        <f>HYPERLINK("https://files.afu.se/Downloads/Transcripts/0%20-%20Government/USA%20-%20NASA%20Kennedy/2011 02 16 - NASA's Kennedy Space Center - VAB Wall Signing  Minako Holdrum_eO6E2AQzZQ0 - transcript (automated).pdf","Transcript Link")</f>
        <v>Transcript Link</v>
      </c>
      <c r="M1461" s="2" t="str">
        <f>HYPERLINK("https://files.afu.se/Downloads/Transcripts/0%20-%20Government/USA%20-%20NASA%20Kennedy/2011 02 16 - NASA's Kennedy Space Center - VAB Wall Signing  Minako Holdrum_eO6E2AQzZQ0 - transcript (automated).pdf","Transcript Link")</f>
        <v>Transcript Link</v>
      </c>
    </row>
    <row r="1462" ht="225" spans="1:13">
      <c r="A1462" s="1" t="s">
        <v>6654</v>
      </c>
      <c r="B1462" s="1" t="s">
        <v>13</v>
      </c>
      <c r="C1462" s="4" t="s">
        <v>6686</v>
      </c>
      <c r="D1462" s="1" t="s">
        <v>6687</v>
      </c>
      <c r="E1462" s="1" t="s">
        <v>6657</v>
      </c>
      <c r="F1462" s="4" t="s">
        <v>17</v>
      </c>
      <c r="G1462" s="1" t="s">
        <v>18</v>
      </c>
      <c r="H1462" s="1" t="s">
        <v>19</v>
      </c>
      <c r="I1462" s="1" t="s">
        <v>20</v>
      </c>
      <c r="J1462" s="1" t="s">
        <v>6688</v>
      </c>
      <c r="K1462" s="1" t="s">
        <v>22</v>
      </c>
      <c r="L1462" s="1" t="str">
        <f>HYPERLINK("https://files.afu.se/Downloads/Transcripts/0%20-%20Government/USA%20-%20NASA%20Kennedy/2011 02 16 - NASA's Kennedy Space Center - VAB Wall Signing  Mike Haddad_55J-oCZPFls - transcript (automated).pdf","Transcript Link")</f>
        <v>Transcript Link</v>
      </c>
      <c r="M1462" s="2" t="str">
        <f>HYPERLINK("https://files.afu.se/Downloads/Transcripts/0%20-%20Government/USA%20-%20NASA%20Kennedy/2011 02 16 - NASA's Kennedy Space Center - VAB Wall Signing  Mike Haddad_55J-oCZPFls - transcript (automated).pdf","Transcript Link")</f>
        <v>Transcript Link</v>
      </c>
    </row>
    <row r="1463" ht="225" spans="1:13">
      <c r="A1463" s="1" t="s">
        <v>6654</v>
      </c>
      <c r="B1463" s="1" t="s">
        <v>13</v>
      </c>
      <c r="C1463" s="4" t="s">
        <v>6689</v>
      </c>
      <c r="D1463" s="1" t="s">
        <v>6690</v>
      </c>
      <c r="E1463" s="1" t="s">
        <v>6657</v>
      </c>
      <c r="F1463" s="4" t="s">
        <v>17</v>
      </c>
      <c r="G1463" s="1" t="s">
        <v>18</v>
      </c>
      <c r="H1463" s="1" t="s">
        <v>19</v>
      </c>
      <c r="I1463" s="1" t="s">
        <v>20</v>
      </c>
      <c r="J1463" s="1" t="s">
        <v>6691</v>
      </c>
      <c r="K1463" s="1" t="s">
        <v>22</v>
      </c>
      <c r="L1463" s="1" t="str">
        <f>HYPERLINK("https://files.afu.se/Downloads/Transcripts/0%20-%20Government/USA%20-%20NASA%20Kennedy/2011 02 16 - NASA's Kennedy Space Center - VAB Wall Signing  Michel Brassard_lQ3Wwsdmvk0 - transcript (automated).pdf","Transcript Link")</f>
        <v>Transcript Link</v>
      </c>
      <c r="M1463" s="2" t="str">
        <f>HYPERLINK("https://files.afu.se/Downloads/Transcripts/0%20-%20Government/USA%20-%20NASA%20Kennedy/2011 02 16 - NASA's Kennedy Space Center - VAB Wall Signing  Michel Brassard_lQ3Wwsdmvk0 - transcript (automated).pdf","Transcript Link")</f>
        <v>Transcript Link</v>
      </c>
    </row>
    <row r="1464" ht="225" spans="1:13">
      <c r="A1464" s="1" t="s">
        <v>6654</v>
      </c>
      <c r="B1464" s="1" t="s">
        <v>13</v>
      </c>
      <c r="C1464" s="4" t="s">
        <v>6692</v>
      </c>
      <c r="D1464" s="1" t="s">
        <v>6693</v>
      </c>
      <c r="E1464" s="1" t="s">
        <v>6657</v>
      </c>
      <c r="F1464" s="4" t="s">
        <v>17</v>
      </c>
      <c r="G1464" s="1" t="s">
        <v>18</v>
      </c>
      <c r="H1464" s="1" t="s">
        <v>19</v>
      </c>
      <c r="I1464" s="1" t="s">
        <v>20</v>
      </c>
      <c r="J1464" s="1" t="s">
        <v>6694</v>
      </c>
      <c r="K1464" s="1" t="s">
        <v>22</v>
      </c>
      <c r="L1464" s="1" t="str">
        <f>HYPERLINK("https://files.afu.se/Downloads/Transcripts/0%20-%20Government/USA%20-%20NASA%20Kennedy/2011 02 16 - NASA's Kennedy Space Center - VAB Wall Signing  Mark Monaghan_X_VwQDHKqLE - transcript (automated).pdf","Transcript Link")</f>
        <v>Transcript Link</v>
      </c>
      <c r="M1464" s="2" t="str">
        <f>HYPERLINK("https://files.afu.se/Downloads/Transcripts/0%20-%20Government/USA%20-%20NASA%20Kennedy/2011 02 16 - NASA's Kennedy Space Center - VAB Wall Signing  Mark Monaghan_X_VwQDHKqLE - transcript (automated).pdf","Transcript Link")</f>
        <v>Transcript Link</v>
      </c>
    </row>
    <row r="1465" ht="225" spans="1:13">
      <c r="A1465" s="1" t="s">
        <v>6654</v>
      </c>
      <c r="B1465" s="1" t="s">
        <v>13</v>
      </c>
      <c r="C1465" s="4" t="s">
        <v>6695</v>
      </c>
      <c r="D1465" s="1" t="s">
        <v>6696</v>
      </c>
      <c r="E1465" s="1" t="s">
        <v>6657</v>
      </c>
      <c r="F1465" s="4" t="s">
        <v>17</v>
      </c>
      <c r="G1465" s="1" t="s">
        <v>18</v>
      </c>
      <c r="H1465" s="1" t="s">
        <v>19</v>
      </c>
      <c r="I1465" s="1" t="s">
        <v>20</v>
      </c>
      <c r="J1465" s="1" t="s">
        <v>6697</v>
      </c>
      <c r="K1465" s="1" t="s">
        <v>22</v>
      </c>
      <c r="L1465" s="1" t="str">
        <f>HYPERLINK("https://files.afu.se/Downloads/Transcripts/0%20-%20Government/USA%20-%20NASA%20Kennedy/2011 02 16 - NASA's Kennedy Space Center - VAB Wall Signing  Luis Rabelo_ga8QzVb5qgM - transcript (automated).pdf","Transcript Link")</f>
        <v>Transcript Link</v>
      </c>
      <c r="M1465" s="2" t="str">
        <f>HYPERLINK("https://files.afu.se/Downloads/Transcripts/0%20-%20Government/USA%20-%20NASA%20Kennedy/2011 02 16 - NASA's Kennedy Space Center - VAB Wall Signing  Luis Rabelo_ga8QzVb5qgM - transcript (automated).pdf","Transcript Link")</f>
        <v>Transcript Link</v>
      </c>
    </row>
    <row r="1466" ht="225" spans="1:13">
      <c r="A1466" s="1" t="s">
        <v>6654</v>
      </c>
      <c r="B1466" s="1" t="s">
        <v>13</v>
      </c>
      <c r="C1466" s="4" t="s">
        <v>6698</v>
      </c>
      <c r="D1466" s="1" t="s">
        <v>6699</v>
      </c>
      <c r="E1466" s="1" t="s">
        <v>6657</v>
      </c>
      <c r="F1466" s="4" t="s">
        <v>17</v>
      </c>
      <c r="G1466" s="1" t="s">
        <v>18</v>
      </c>
      <c r="H1466" s="1" t="s">
        <v>19</v>
      </c>
      <c r="I1466" s="1" t="s">
        <v>20</v>
      </c>
      <c r="J1466" s="1" t="s">
        <v>6700</v>
      </c>
      <c r="K1466" s="1" t="s">
        <v>22</v>
      </c>
      <c r="L1466" s="1" t="str">
        <f>HYPERLINK("https://files.afu.se/Downloads/Transcripts/0%20-%20Government/USA%20-%20NASA%20Kennedy/2011 02 16 - NASA's Kennedy Space Center - VAB Wall Signing  Kurt Emmick_gRigtfgvrKY - transcript (automated).pdf","Transcript Link")</f>
        <v>Transcript Link</v>
      </c>
      <c r="M1466" s="2" t="str">
        <f>HYPERLINK("https://files.afu.se/Downloads/Transcripts/0%20-%20Government/USA%20-%20NASA%20Kennedy/2011 02 16 - NASA's Kennedy Space Center - VAB Wall Signing  Kurt Emmick_gRigtfgvrKY - transcript (automated).pdf","Transcript Link")</f>
        <v>Transcript Link</v>
      </c>
    </row>
    <row r="1467" ht="225" spans="1:13">
      <c r="A1467" s="1" t="s">
        <v>6654</v>
      </c>
      <c r="B1467" s="1" t="s">
        <v>13</v>
      </c>
      <c r="C1467" s="4" t="s">
        <v>6701</v>
      </c>
      <c r="D1467" s="1" t="s">
        <v>6702</v>
      </c>
      <c r="E1467" s="1" t="s">
        <v>6657</v>
      </c>
      <c r="F1467" s="4" t="s">
        <v>17</v>
      </c>
      <c r="G1467" s="1" t="s">
        <v>18</v>
      </c>
      <c r="H1467" s="1" t="s">
        <v>19</v>
      </c>
      <c r="I1467" s="1" t="s">
        <v>20</v>
      </c>
      <c r="J1467" s="1" t="s">
        <v>6703</v>
      </c>
      <c r="K1467" s="1" t="s">
        <v>22</v>
      </c>
      <c r="L1467" s="1" t="str">
        <f>HYPERLINK("https://files.afu.se/Downloads/Transcripts/0%20-%20Government/USA%20-%20NASA%20Kennedy/2011 02 16 - NASA's Kennedy Space Center - VAB Wall Signing   Kumar Singh_SG59_tNsFYU - transcript (automated).pdf","Transcript Link")</f>
        <v>Transcript Link</v>
      </c>
      <c r="M1467" s="2" t="str">
        <f>HYPERLINK("https://files.afu.se/Downloads/Transcripts/0%20-%20Government/USA%20-%20NASA%20Kennedy/2011 02 16 - NASA's Kennedy Space Center - VAB Wall Signing   Kumar Singh_SG59_tNsFYU - transcript (automated).pdf","Transcript Link")</f>
        <v>Transcript Link</v>
      </c>
    </row>
    <row r="1468" ht="225" spans="1:13">
      <c r="A1468" s="1" t="s">
        <v>6654</v>
      </c>
      <c r="B1468" s="1" t="s">
        <v>13</v>
      </c>
      <c r="C1468" s="4" t="s">
        <v>6704</v>
      </c>
      <c r="D1468" s="1" t="s">
        <v>6705</v>
      </c>
      <c r="E1468" s="1" t="s">
        <v>6657</v>
      </c>
      <c r="F1468" s="4" t="s">
        <v>17</v>
      </c>
      <c r="G1468" s="1" t="s">
        <v>18</v>
      </c>
      <c r="H1468" s="1" t="s">
        <v>19</v>
      </c>
      <c r="I1468" s="1" t="s">
        <v>20</v>
      </c>
      <c r="J1468" s="1" t="s">
        <v>6706</v>
      </c>
      <c r="K1468" s="1" t="s">
        <v>22</v>
      </c>
      <c r="L1468" s="1" t="str">
        <f>HYPERLINK("https://files.afu.se/Downloads/Transcripts/0%20-%20Government/USA%20-%20NASA%20Kennedy/2011 02 16 - NASA's Kennedy Space Center - VAB Wall Signing  Kerri Freer_JasogFtey7U - transcript (automated).pdf","Transcript Link")</f>
        <v>Transcript Link</v>
      </c>
      <c r="M1468" s="2" t="str">
        <f>HYPERLINK("https://files.afu.se/Downloads/Transcripts/0%20-%20Government/USA%20-%20NASA%20Kennedy/2011 02 16 - NASA's Kennedy Space Center - VAB Wall Signing  Kerri Freer_JasogFtey7U - transcript (automated).pdf","Transcript Link")</f>
        <v>Transcript Link</v>
      </c>
    </row>
    <row r="1469" ht="225" spans="1:13">
      <c r="A1469" s="1" t="s">
        <v>6654</v>
      </c>
      <c r="B1469" s="1" t="s">
        <v>13</v>
      </c>
      <c r="C1469" s="4" t="s">
        <v>6707</v>
      </c>
      <c r="D1469" s="1" t="s">
        <v>6708</v>
      </c>
      <c r="E1469" s="1" t="s">
        <v>6657</v>
      </c>
      <c r="F1469" s="4" t="s">
        <v>17</v>
      </c>
      <c r="G1469" s="1" t="s">
        <v>18</v>
      </c>
      <c r="H1469" s="1" t="s">
        <v>19</v>
      </c>
      <c r="I1469" s="1" t="s">
        <v>20</v>
      </c>
      <c r="J1469" s="1" t="s">
        <v>6709</v>
      </c>
      <c r="K1469" s="1" t="s">
        <v>22</v>
      </c>
      <c r="L1469" s="1" t="str">
        <f>HYPERLINK("https://files.afu.se/Downloads/Transcripts/0%20-%20Government/USA%20-%20NASA%20Kennedy/2011 02 16 - NASA's Kennedy Space Center - VAB Wall Signing  Ken Tenbush_ZWdMQSQHksc - transcript (automated).pdf","Transcript Link")</f>
        <v>Transcript Link</v>
      </c>
      <c r="M1469" s="2" t="str">
        <f>HYPERLINK("https://files.afu.se/Downloads/Transcripts/0%20-%20Government/USA%20-%20NASA%20Kennedy/2011 02 16 - NASA's Kennedy Space Center - VAB Wall Signing  Ken Tenbush_ZWdMQSQHksc - transcript (automated).pdf","Transcript Link")</f>
        <v>Transcript Link</v>
      </c>
    </row>
    <row r="1470" ht="225" spans="1:13">
      <c r="A1470" s="1" t="s">
        <v>6654</v>
      </c>
      <c r="B1470" s="1" t="s">
        <v>13</v>
      </c>
      <c r="C1470" s="4" t="s">
        <v>6710</v>
      </c>
      <c r="D1470" s="1" t="s">
        <v>6711</v>
      </c>
      <c r="E1470" s="1" t="s">
        <v>6657</v>
      </c>
      <c r="F1470" s="4" t="s">
        <v>17</v>
      </c>
      <c r="G1470" s="1" t="s">
        <v>18</v>
      </c>
      <c r="H1470" s="1" t="s">
        <v>19</v>
      </c>
      <c r="I1470" s="1" t="s">
        <v>20</v>
      </c>
      <c r="J1470" s="1" t="s">
        <v>6712</v>
      </c>
      <c r="K1470" s="1" t="s">
        <v>22</v>
      </c>
      <c r="L1470" s="1" t="str">
        <f>HYPERLINK("https://files.afu.se/Downloads/Transcripts/0%20-%20Government/USA%20-%20NASA%20Kennedy/2011 02 16 - NASA's Kennedy Space Center - VAB Wall Signing  Kelly Jones_qI5G2ku2v6Y - transcript (automated).pdf","Transcript Link")</f>
        <v>Transcript Link</v>
      </c>
      <c r="M1470" s="2" t="str">
        <f>HYPERLINK("https://files.afu.se/Downloads/Transcripts/0%20-%20Government/USA%20-%20NASA%20Kennedy/2011 02 16 - NASA's Kennedy Space Center - VAB Wall Signing  Kelly Jones_qI5G2ku2v6Y - transcript (automated).pdf","Transcript Link")</f>
        <v>Transcript Link</v>
      </c>
    </row>
    <row r="1471" ht="225" spans="1:13">
      <c r="A1471" s="1" t="s">
        <v>6654</v>
      </c>
      <c r="B1471" s="1" t="s">
        <v>13</v>
      </c>
      <c r="C1471" s="4" t="s">
        <v>6713</v>
      </c>
      <c r="D1471" s="1" t="s">
        <v>6714</v>
      </c>
      <c r="E1471" s="1" t="s">
        <v>6657</v>
      </c>
      <c r="F1471" s="4" t="s">
        <v>17</v>
      </c>
      <c r="G1471" s="1" t="s">
        <v>18</v>
      </c>
      <c r="H1471" s="1" t="s">
        <v>19</v>
      </c>
      <c r="I1471" s="1" t="s">
        <v>20</v>
      </c>
      <c r="J1471" s="1" t="s">
        <v>6715</v>
      </c>
      <c r="K1471" s="1" t="s">
        <v>22</v>
      </c>
      <c r="L1471" s="1" t="str">
        <f>HYPERLINK("https://files.afu.se/Downloads/Transcripts/0%20-%20Government/USA%20-%20NASA%20Kennedy/2011 02 16 - NASA's Kennedy Space Center - VAB Wall Signing  Joshua Santora_DtlBoTaSQJM - transcript (automated).pdf","Transcript Link")</f>
        <v>Transcript Link</v>
      </c>
      <c r="M1471" s="2" t="str">
        <f>HYPERLINK("https://files.afu.se/Downloads/Transcripts/0%20-%20Government/USA%20-%20NASA%20Kennedy/2011 02 16 - NASA's Kennedy Space Center - VAB Wall Signing  Joshua Santora_DtlBoTaSQJM - transcript (automated).pdf","Transcript Link")</f>
        <v>Transcript Link</v>
      </c>
    </row>
    <row r="1472" ht="225" spans="1:13">
      <c r="A1472" s="1" t="s">
        <v>6654</v>
      </c>
      <c r="B1472" s="1" t="s">
        <v>13</v>
      </c>
      <c r="C1472" s="4" t="s">
        <v>6716</v>
      </c>
      <c r="D1472" s="1" t="s">
        <v>6717</v>
      </c>
      <c r="E1472" s="1" t="s">
        <v>6657</v>
      </c>
      <c r="F1472" s="4" t="s">
        <v>17</v>
      </c>
      <c r="G1472" s="1" t="s">
        <v>18</v>
      </c>
      <c r="H1472" s="1" t="s">
        <v>19</v>
      </c>
      <c r="I1472" s="1" t="s">
        <v>20</v>
      </c>
      <c r="J1472" s="1" t="s">
        <v>6718</v>
      </c>
      <c r="K1472" s="1" t="s">
        <v>22</v>
      </c>
      <c r="L1472" s="1" t="str">
        <f>HYPERLINK("https://files.afu.se/Downloads/Transcripts/0%20-%20Government/USA%20-%20NASA%20Kennedy/2011 02 16 - NASA's Kennedy Space Center - VAB Wall Signing  Johnnie Moore_2oQ4cnmhS9w - transcript (automated).pdf","Transcript Link")</f>
        <v>Transcript Link</v>
      </c>
      <c r="M1472" s="2" t="str">
        <f>HYPERLINK("https://files.afu.se/Downloads/Transcripts/0%20-%20Government/USA%20-%20NASA%20Kennedy/2011 02 16 - NASA's Kennedy Space Center - VAB Wall Signing  Johnnie Moore_2oQ4cnmhS9w - transcript (automated).pdf","Transcript Link")</f>
        <v>Transcript Link</v>
      </c>
    </row>
    <row r="1473" ht="225" spans="1:13">
      <c r="A1473" s="1" t="s">
        <v>6654</v>
      </c>
      <c r="B1473" s="1" t="s">
        <v>13</v>
      </c>
      <c r="C1473" s="4" t="s">
        <v>6719</v>
      </c>
      <c r="D1473" s="1" t="s">
        <v>6720</v>
      </c>
      <c r="E1473" s="1" t="s">
        <v>6657</v>
      </c>
      <c r="F1473" s="4" t="s">
        <v>17</v>
      </c>
      <c r="G1473" s="1" t="s">
        <v>18</v>
      </c>
      <c r="H1473" s="1" t="s">
        <v>19</v>
      </c>
      <c r="I1473" s="1" t="s">
        <v>20</v>
      </c>
      <c r="J1473" s="1" t="s">
        <v>6721</v>
      </c>
      <c r="K1473" s="1" t="s">
        <v>22</v>
      </c>
      <c r="L1473" s="1" t="str">
        <f>HYPERLINK("https://files.afu.se/Downloads/Transcripts/0%20-%20Government/USA%20-%20NASA%20Kennedy/2011 02 16 - NASA's Kennedy Space Center - VAB Wall Signing  Joe Brown_e3WtfL6kZ_c - transcript (automated).pdf","Transcript Link")</f>
        <v>Transcript Link</v>
      </c>
      <c r="M1473" s="2" t="str">
        <f>HYPERLINK("https://files.afu.se/Downloads/Transcripts/0%20-%20Government/USA%20-%20NASA%20Kennedy/2011 02 16 - NASA's Kennedy Space Center - VAB Wall Signing  Joe Brown_e3WtfL6kZ_c - transcript (automated).pdf","Transcript Link")</f>
        <v>Transcript Link</v>
      </c>
    </row>
    <row r="1474" ht="225" spans="1:13">
      <c r="A1474" s="1" t="s">
        <v>6654</v>
      </c>
      <c r="B1474" s="1" t="s">
        <v>13</v>
      </c>
      <c r="C1474" s="4" t="s">
        <v>6722</v>
      </c>
      <c r="D1474" s="1" t="s">
        <v>6723</v>
      </c>
      <c r="E1474" s="1" t="s">
        <v>6657</v>
      </c>
      <c r="F1474" s="4" t="s">
        <v>17</v>
      </c>
      <c r="G1474" s="1" t="s">
        <v>18</v>
      </c>
      <c r="H1474" s="1" t="s">
        <v>19</v>
      </c>
      <c r="I1474" s="1" t="s">
        <v>20</v>
      </c>
      <c r="J1474" s="1" t="s">
        <v>6724</v>
      </c>
      <c r="K1474" s="1" t="s">
        <v>22</v>
      </c>
      <c r="L1474" s="1" t="str">
        <f>HYPERLINK("https://files.afu.se/Downloads/Transcripts/0%20-%20Government/USA%20-%20NASA%20Kennedy/2011 02 16 - NASA's Kennedy Space Center - VAB Wall Signing  Jimmy Cornejo_XAOr9qy2rpE - transcript (automated).pdf","Transcript Link")</f>
        <v>Transcript Link</v>
      </c>
      <c r="M1474" s="2" t="str">
        <f>HYPERLINK("https://files.afu.se/Downloads/Transcripts/0%20-%20Government/USA%20-%20NASA%20Kennedy/2011 02 16 - NASA's Kennedy Space Center - VAB Wall Signing  Jimmy Cornejo_XAOr9qy2rpE - transcript (automated).pdf","Transcript Link")</f>
        <v>Transcript Link</v>
      </c>
    </row>
    <row r="1475" ht="225" spans="1:13">
      <c r="A1475" s="1" t="s">
        <v>6654</v>
      </c>
      <c r="B1475" s="1" t="s">
        <v>13</v>
      </c>
      <c r="C1475" s="4" t="s">
        <v>6725</v>
      </c>
      <c r="D1475" s="1" t="s">
        <v>6726</v>
      </c>
      <c r="E1475" s="1" t="s">
        <v>6727</v>
      </c>
      <c r="F1475" s="4" t="s">
        <v>17</v>
      </c>
      <c r="G1475" s="1" t="s">
        <v>18</v>
      </c>
      <c r="H1475" s="1" t="s">
        <v>19</v>
      </c>
      <c r="I1475" s="1" t="s">
        <v>20</v>
      </c>
      <c r="J1475" s="1" t="s">
        <v>6728</v>
      </c>
      <c r="K1475" s="1" t="s">
        <v>22</v>
      </c>
      <c r="L1475" s="1" t="str">
        <f>HYPERLINK("https://files.afu.se/Downloads/Transcripts/0%20-%20Government/USA%20-%20NASA%20Kennedy/2011 02 16 - NASA's Kennedy Space Center - VAB Wall Signing  Jimmy Black_4gO-ea80S_Y - transcript (automated).pdf","Transcript Link")</f>
        <v>Transcript Link</v>
      </c>
      <c r="M1475" s="2" t="str">
        <f>HYPERLINK("https://files.afu.se/Downloads/Transcripts/0%20-%20Government/USA%20-%20NASA%20Kennedy/2011 02 16 - NASA's Kennedy Space Center - VAB Wall Signing  Jimmy Black_4gO-ea80S_Y - transcript (automated).pdf","Transcript Link")</f>
        <v>Transcript Link</v>
      </c>
    </row>
    <row r="1476" ht="225" spans="1:13">
      <c r="A1476" s="1" t="s">
        <v>6654</v>
      </c>
      <c r="B1476" s="1" t="s">
        <v>13</v>
      </c>
      <c r="C1476" s="4" t="s">
        <v>6729</v>
      </c>
      <c r="D1476" s="1" t="s">
        <v>6730</v>
      </c>
      <c r="E1476" s="1" t="s">
        <v>6657</v>
      </c>
      <c r="F1476" s="4" t="s">
        <v>17</v>
      </c>
      <c r="G1476" s="1" t="s">
        <v>18</v>
      </c>
      <c r="H1476" s="1" t="s">
        <v>19</v>
      </c>
      <c r="I1476" s="1" t="s">
        <v>20</v>
      </c>
      <c r="J1476" s="1" t="s">
        <v>6731</v>
      </c>
      <c r="K1476" s="1" t="s">
        <v>22</v>
      </c>
      <c r="L1476" s="1" t="str">
        <f>HYPERLINK("https://files.afu.se/Downloads/Transcripts/0%20-%20Government/USA%20-%20NASA%20Kennedy/2011 02 16 - NASA's Kennedy Space Center - VAB Wall Signing  Jeremy Parr__AmM8LTK63Q - transcript (automated).pdf","Transcript Link")</f>
        <v>Transcript Link</v>
      </c>
      <c r="M1476" s="2" t="str">
        <f>HYPERLINK("https://files.afu.se/Downloads/Transcripts/0%20-%20Government/USA%20-%20NASA%20Kennedy/2011 02 16 - NASA's Kennedy Space Center - VAB Wall Signing  Jeremy Parr__AmM8LTK63Q - transcript (automated).pdf","Transcript Link")</f>
        <v>Transcript Link</v>
      </c>
    </row>
    <row r="1477" ht="225" spans="1:13">
      <c r="A1477" s="1" t="s">
        <v>6654</v>
      </c>
      <c r="B1477" s="1" t="s">
        <v>13</v>
      </c>
      <c r="C1477" s="4" t="s">
        <v>6732</v>
      </c>
      <c r="D1477" s="1" t="s">
        <v>6733</v>
      </c>
      <c r="E1477" s="1" t="s">
        <v>6727</v>
      </c>
      <c r="F1477" s="4" t="s">
        <v>17</v>
      </c>
      <c r="G1477" s="1" t="s">
        <v>18</v>
      </c>
      <c r="H1477" s="1" t="s">
        <v>19</v>
      </c>
      <c r="I1477" s="1" t="s">
        <v>20</v>
      </c>
      <c r="J1477" s="1" t="s">
        <v>6734</v>
      </c>
      <c r="K1477" s="1" t="s">
        <v>22</v>
      </c>
      <c r="L1477" s="1" t="str">
        <f>HYPERLINK("https://files.afu.se/Downloads/Transcripts/0%20-%20Government/USA%20-%20NASA%20Kennedy/2011 02 16 - NASA's Kennedy Space Center - VAB Wall Signing  Jeremy Doerfeld_jsLwkhIlDY4 - transcript (automated).pdf","Transcript Link")</f>
        <v>Transcript Link</v>
      </c>
      <c r="M1477" s="2" t="str">
        <f>HYPERLINK("https://files.afu.se/Downloads/Transcripts/0%20-%20Government/USA%20-%20NASA%20Kennedy/2011 02 16 - NASA's Kennedy Space Center - VAB Wall Signing  Jeremy Doerfeld_jsLwkhIlDY4 - transcript (automated).pdf","Transcript Link")</f>
        <v>Transcript Link</v>
      </c>
    </row>
    <row r="1478" ht="225" spans="1:13">
      <c r="A1478" s="1" t="s">
        <v>6654</v>
      </c>
      <c r="B1478" s="1" t="s">
        <v>13</v>
      </c>
      <c r="C1478" s="4" t="s">
        <v>6735</v>
      </c>
      <c r="D1478" s="1" t="s">
        <v>6736</v>
      </c>
      <c r="E1478" s="1" t="s">
        <v>6657</v>
      </c>
      <c r="F1478" s="4" t="s">
        <v>17</v>
      </c>
      <c r="G1478" s="1" t="s">
        <v>18</v>
      </c>
      <c r="H1478" s="1" t="s">
        <v>19</v>
      </c>
      <c r="I1478" s="1" t="s">
        <v>20</v>
      </c>
      <c r="J1478" s="1" t="s">
        <v>6737</v>
      </c>
      <c r="K1478" s="1" t="s">
        <v>22</v>
      </c>
      <c r="L1478" s="1" t="str">
        <f>HYPERLINK("https://files.afu.se/Downloads/Transcripts/0%20-%20Government/USA%20-%20NASA%20Kennedy/2011 02 16 - NASA's Kennedy Space Center - VAB Wall Signing  Jeppie Compton_x3n4ruAVw1U - transcript (automated).pdf","Transcript Link")</f>
        <v>Transcript Link</v>
      </c>
      <c r="M1478" s="2" t="str">
        <f>HYPERLINK("https://files.afu.se/Downloads/Transcripts/0%20-%20Government/USA%20-%20NASA%20Kennedy/2011 02 16 - NASA's Kennedy Space Center - VAB Wall Signing  Jeppie Compton_x3n4ruAVw1U - transcript (automated).pdf","Transcript Link")</f>
        <v>Transcript Link</v>
      </c>
    </row>
    <row r="1479" ht="225" spans="1:13">
      <c r="A1479" s="1" t="s">
        <v>6654</v>
      </c>
      <c r="B1479" s="1" t="s">
        <v>13</v>
      </c>
      <c r="C1479" s="4" t="s">
        <v>6738</v>
      </c>
      <c r="D1479" s="1" t="s">
        <v>6739</v>
      </c>
      <c r="E1479" s="1" t="s">
        <v>6657</v>
      </c>
      <c r="F1479" s="4" t="s">
        <v>17</v>
      </c>
      <c r="G1479" s="1" t="s">
        <v>18</v>
      </c>
      <c r="H1479" s="1" t="s">
        <v>19</v>
      </c>
      <c r="I1479" s="1" t="s">
        <v>20</v>
      </c>
      <c r="J1479" s="1" t="s">
        <v>6740</v>
      </c>
      <c r="K1479" s="1" t="s">
        <v>22</v>
      </c>
      <c r="L1479" s="1" t="str">
        <f>HYPERLINK("https://files.afu.se/Downloads/Transcripts/0%20-%20Government/USA%20-%20NASA%20Kennedy/2011 02 16 - NASA's Kennedy Space Center - VAB Wall Signing  James Ness_Npo7kkIkqXg - transcript (automated).pdf","Transcript Link")</f>
        <v>Transcript Link</v>
      </c>
      <c r="M1479" s="2" t="str">
        <f>HYPERLINK("https://files.afu.se/Downloads/Transcripts/0%20-%20Government/USA%20-%20NASA%20Kennedy/2011 02 16 - NASA's Kennedy Space Center - VAB Wall Signing  James Ness_Npo7kkIkqXg - transcript (automated).pdf","Transcript Link")</f>
        <v>Transcript Link</v>
      </c>
    </row>
    <row r="1480" ht="225" spans="1:13">
      <c r="A1480" s="1" t="s">
        <v>6654</v>
      </c>
      <c r="B1480" s="1" t="s">
        <v>13</v>
      </c>
      <c r="C1480" s="4" t="s">
        <v>6741</v>
      </c>
      <c r="D1480" s="1" t="s">
        <v>6742</v>
      </c>
      <c r="E1480" s="1" t="s">
        <v>6657</v>
      </c>
      <c r="F1480" s="4" t="s">
        <v>17</v>
      </c>
      <c r="G1480" s="1" t="s">
        <v>18</v>
      </c>
      <c r="H1480" s="1" t="s">
        <v>19</v>
      </c>
      <c r="I1480" s="1" t="s">
        <v>20</v>
      </c>
      <c r="J1480" s="1" t="s">
        <v>6743</v>
      </c>
      <c r="K1480" s="1" t="s">
        <v>22</v>
      </c>
      <c r="L1480" s="1" t="str">
        <f>HYPERLINK("https://files.afu.se/Downloads/Transcripts/0%20-%20Government/USA%20-%20NASA%20Kennedy/2011 02 16 - NASA's Kennedy Space Center - VAB Wall Signing  Georgett Styers_hHZfNJlzipg - transcript (automated).pdf","Transcript Link")</f>
        <v>Transcript Link</v>
      </c>
      <c r="M1480" s="2" t="str">
        <f>HYPERLINK("https://files.afu.se/Downloads/Transcripts/0%20-%20Government/USA%20-%20NASA%20Kennedy/2011 02 16 - NASA's Kennedy Space Center - VAB Wall Signing  Georgett Styers_hHZfNJlzipg - transcript (automated).pdf","Transcript Link")</f>
        <v>Transcript Link</v>
      </c>
    </row>
    <row r="1481" ht="225" spans="1:13">
      <c r="A1481" s="1" t="s">
        <v>6654</v>
      </c>
      <c r="B1481" s="1" t="s">
        <v>13</v>
      </c>
      <c r="C1481" s="4" t="s">
        <v>6744</v>
      </c>
      <c r="D1481" s="1" t="s">
        <v>6745</v>
      </c>
      <c r="E1481" s="1" t="s">
        <v>6657</v>
      </c>
      <c r="F1481" s="4" t="s">
        <v>17</v>
      </c>
      <c r="G1481" s="1" t="s">
        <v>18</v>
      </c>
      <c r="H1481" s="1" t="s">
        <v>19</v>
      </c>
      <c r="I1481" s="1" t="s">
        <v>20</v>
      </c>
      <c r="J1481" s="1" t="s">
        <v>6746</v>
      </c>
      <c r="K1481" s="1" t="s">
        <v>22</v>
      </c>
      <c r="L1481" s="1" t="str">
        <f>HYPERLINK("https://files.afu.se/Downloads/Transcripts/0%20-%20Government/USA%20-%20NASA%20Kennedy/2011 02 16 - NASA's Kennedy Space Center - VAB Wall Signing  Frank and Simeon_kG2TYs1WeNQ - transcript (automated).pdf","Transcript Link")</f>
        <v>Transcript Link</v>
      </c>
      <c r="M1481" s="2" t="str">
        <f>HYPERLINK("https://files.afu.se/Downloads/Transcripts/0%20-%20Government/USA%20-%20NASA%20Kennedy/2011 02 16 - NASA's Kennedy Space Center - VAB Wall Signing  Frank and Simeon_kG2TYs1WeNQ - transcript (automated).pdf","Transcript Link")</f>
        <v>Transcript Link</v>
      </c>
    </row>
    <row r="1482" ht="225" spans="1:13">
      <c r="A1482" s="1" t="s">
        <v>6654</v>
      </c>
      <c r="B1482" s="1" t="s">
        <v>13</v>
      </c>
      <c r="C1482" s="4" t="s">
        <v>6747</v>
      </c>
      <c r="D1482" s="1" t="s">
        <v>6748</v>
      </c>
      <c r="E1482" s="1" t="s">
        <v>6657</v>
      </c>
      <c r="F1482" s="4" t="s">
        <v>17</v>
      </c>
      <c r="G1482" s="1" t="s">
        <v>18</v>
      </c>
      <c r="H1482" s="1" t="s">
        <v>19</v>
      </c>
      <c r="I1482" s="1" t="s">
        <v>20</v>
      </c>
      <c r="J1482" s="1" t="s">
        <v>6749</v>
      </c>
      <c r="K1482" s="1" t="s">
        <v>22</v>
      </c>
      <c r="L1482" s="1" t="str">
        <f>HYPERLINK("https://files.afu.se/Downloads/Transcripts/0%20-%20Government/USA%20-%20NASA%20Kennedy/2011 02 16 - NASA's Kennedy Space Center - VAB Wall Signing   Ed Laudat_9eh4dTNOjQg - transcript (automated).pdf","Transcript Link")</f>
        <v>Transcript Link</v>
      </c>
      <c r="M1482" s="2" t="str">
        <f>HYPERLINK("https://files.afu.se/Downloads/Transcripts/0%20-%20Government/USA%20-%20NASA%20Kennedy/2011 02 16 - NASA's Kennedy Space Center - VAB Wall Signing   Ed Laudat_9eh4dTNOjQg - transcript (automated).pdf","Transcript Link")</f>
        <v>Transcript Link</v>
      </c>
    </row>
    <row r="1483" ht="225" spans="1:13">
      <c r="A1483" s="1" t="s">
        <v>6750</v>
      </c>
      <c r="B1483" s="1" t="s">
        <v>13</v>
      </c>
      <c r="C1483" s="4" t="s">
        <v>6751</v>
      </c>
      <c r="D1483" s="1" t="s">
        <v>6752</v>
      </c>
      <c r="E1483" s="1" t="s">
        <v>6753</v>
      </c>
      <c r="F1483" s="4" t="s">
        <v>17</v>
      </c>
      <c r="G1483" s="1" t="s">
        <v>18</v>
      </c>
      <c r="H1483" s="1" t="s">
        <v>19</v>
      </c>
      <c r="I1483" s="1" t="s">
        <v>20</v>
      </c>
      <c r="J1483" s="1" t="s">
        <v>6754</v>
      </c>
      <c r="K1483" s="1" t="s">
        <v>22</v>
      </c>
      <c r="L1483" s="1" t="str">
        <f>HYPERLINK("https://files.afu.se/Downloads/Transcripts/0%20-%20Government/USA%20-%20NASA%20Kennedy/2011 02 15 - NASA's Kennedy Space Center - VAB Wall Signing  Don Smith_MGXYnmmrwKs - transcript (automated).pdf","Transcript Link")</f>
        <v>Transcript Link</v>
      </c>
      <c r="M1483" s="2" t="str">
        <f>HYPERLINK("https://files.afu.se/Downloads/Transcripts/0%20-%20Government/USA%20-%20NASA%20Kennedy/2011 02 15 - NASA's Kennedy Space Center - VAB Wall Signing  Don Smith_MGXYnmmrwKs - transcript (automated).pdf","Transcript Link")</f>
        <v>Transcript Link</v>
      </c>
    </row>
    <row r="1484" ht="225" spans="1:13">
      <c r="A1484" s="1" t="s">
        <v>6750</v>
      </c>
      <c r="B1484" s="1" t="s">
        <v>13</v>
      </c>
      <c r="C1484" s="4" t="s">
        <v>6755</v>
      </c>
      <c r="D1484" s="1" t="s">
        <v>6756</v>
      </c>
      <c r="E1484" s="1" t="s">
        <v>6657</v>
      </c>
      <c r="F1484" s="4" t="s">
        <v>17</v>
      </c>
      <c r="G1484" s="1" t="s">
        <v>18</v>
      </c>
      <c r="H1484" s="1" t="s">
        <v>19</v>
      </c>
      <c r="I1484" s="1" t="s">
        <v>20</v>
      </c>
      <c r="J1484" s="1" t="s">
        <v>6757</v>
      </c>
      <c r="K1484" s="1" t="s">
        <v>22</v>
      </c>
      <c r="L1484" s="1" t="str">
        <f>HYPERLINK("https://files.afu.se/Downloads/Transcripts/0%20-%20Government/USA%20-%20NASA%20Kennedy/2011 02 15 - NASA's Kennedy Space Center - VAB Wall Signing  Douglas Hendrickson_eu5V2ltWMsA - transcript (automated).pdf","Transcript Link")</f>
        <v>Transcript Link</v>
      </c>
      <c r="M1484" s="2" t="str">
        <f>HYPERLINK("https://files.afu.se/Downloads/Transcripts/0%20-%20Government/USA%20-%20NASA%20Kennedy/2011 02 15 - NASA's Kennedy Space Center - VAB Wall Signing  Douglas Hendrickson_eu5V2ltWMsA - transcript (automated).pdf","Transcript Link")</f>
        <v>Transcript Link</v>
      </c>
    </row>
    <row r="1485" ht="225" spans="1:13">
      <c r="A1485" s="1" t="s">
        <v>6750</v>
      </c>
      <c r="B1485" s="1" t="s">
        <v>13</v>
      </c>
      <c r="C1485" s="4" t="s">
        <v>6758</v>
      </c>
      <c r="D1485" s="1" t="s">
        <v>6759</v>
      </c>
      <c r="E1485" s="1" t="s">
        <v>6760</v>
      </c>
      <c r="F1485" s="4" t="s">
        <v>17</v>
      </c>
      <c r="G1485" s="1" t="s">
        <v>18</v>
      </c>
      <c r="H1485" s="1" t="s">
        <v>19</v>
      </c>
      <c r="I1485" s="1" t="s">
        <v>20</v>
      </c>
      <c r="J1485" s="1" t="s">
        <v>6761</v>
      </c>
      <c r="K1485" s="1" t="s">
        <v>22</v>
      </c>
      <c r="L1485" s="1" t="str">
        <f>HYPERLINK("https://files.afu.se/Downloads/Transcripts/0%20-%20Government/USA%20-%20NASA%20Kennedy/2011 02 15 - NASA's Kennedy Space Center - VAB Wall Signing  Denise Meadows_SmF4TLFJACs - transcript (automated).pdf","Transcript Link")</f>
        <v>Transcript Link</v>
      </c>
      <c r="M1485" s="2" t="str">
        <f>HYPERLINK("https://files.afu.se/Downloads/Transcripts/0%20-%20Government/USA%20-%20NASA%20Kennedy/2011 02 15 - NASA's Kennedy Space Center - VAB Wall Signing  Denise Meadows_SmF4TLFJACs - transcript (automated).pdf","Transcript Link")</f>
        <v>Transcript Link</v>
      </c>
    </row>
    <row r="1486" ht="225" spans="1:13">
      <c r="A1486" s="1" t="s">
        <v>6750</v>
      </c>
      <c r="B1486" s="1" t="s">
        <v>13</v>
      </c>
      <c r="C1486" s="4" t="s">
        <v>6762</v>
      </c>
      <c r="D1486" s="1" t="s">
        <v>6763</v>
      </c>
      <c r="E1486" s="1" t="s">
        <v>6657</v>
      </c>
      <c r="F1486" s="4" t="s">
        <v>17</v>
      </c>
      <c r="G1486" s="1" t="s">
        <v>18</v>
      </c>
      <c r="H1486" s="1" t="s">
        <v>19</v>
      </c>
      <c r="I1486" s="1" t="s">
        <v>20</v>
      </c>
      <c r="J1486" s="1" t="s">
        <v>6764</v>
      </c>
      <c r="K1486" s="1" t="s">
        <v>22</v>
      </c>
      <c r="L1486" s="1" t="str">
        <f>HYPERLINK("https://files.afu.se/Downloads/Transcripts/0%20-%20Government/USA%20-%20NASA%20Kennedy/2011 02 15 - NASA's Kennedy Space Center - VAB Wall Signing  Denise, Laura and Carolyn_dKJ0tPJSN6c - transcript (automated).pdf","Transcript Link")</f>
        <v>Transcript Link</v>
      </c>
      <c r="M1486" s="2" t="str">
        <f>HYPERLINK("https://files.afu.se/Downloads/Transcripts/0%20-%20Government/USA%20-%20NASA%20Kennedy/2011 02 15 - NASA's Kennedy Space Center - VAB Wall Signing  Denise, Laura and Carolyn_dKJ0tPJSN6c - transcript (automated).pdf","Transcript Link")</f>
        <v>Transcript Link</v>
      </c>
    </row>
    <row r="1487" ht="225" spans="1:13">
      <c r="A1487" s="1" t="s">
        <v>6750</v>
      </c>
      <c r="B1487" s="1" t="s">
        <v>13</v>
      </c>
      <c r="C1487" s="4" t="s">
        <v>6765</v>
      </c>
      <c r="D1487" s="1" t="s">
        <v>6766</v>
      </c>
      <c r="E1487" s="1" t="s">
        <v>6657</v>
      </c>
      <c r="F1487" s="4" t="s">
        <v>17</v>
      </c>
      <c r="G1487" s="1" t="s">
        <v>18</v>
      </c>
      <c r="H1487" s="1" t="s">
        <v>19</v>
      </c>
      <c r="I1487" s="1" t="s">
        <v>20</v>
      </c>
      <c r="J1487" s="1" t="s">
        <v>6767</v>
      </c>
      <c r="K1487" s="1" t="s">
        <v>22</v>
      </c>
      <c r="L1487" s="1" t="str">
        <f>HYPERLINK("https://files.afu.se/Downloads/Transcripts/0%20-%20Government/USA%20-%20NASA%20Kennedy/2011 02 15 - NASA's Kennedy Space Center - VAB Wall Signing  Denice Calderon_vy0w15iY3nA - transcript (automated).pdf","Transcript Link")</f>
        <v>Transcript Link</v>
      </c>
      <c r="M1487" s="2" t="str">
        <f>HYPERLINK("https://files.afu.se/Downloads/Transcripts/0%20-%20Government/USA%20-%20NASA%20Kennedy/2011 02 15 - NASA's Kennedy Space Center - VAB Wall Signing  Denice Calderon_vy0w15iY3nA - transcript (automated).pdf","Transcript Link")</f>
        <v>Transcript Link</v>
      </c>
    </row>
    <row r="1488" ht="225" spans="1:13">
      <c r="A1488" s="1" t="s">
        <v>6750</v>
      </c>
      <c r="B1488" s="1" t="s">
        <v>13</v>
      </c>
      <c r="C1488" s="4" t="s">
        <v>6768</v>
      </c>
      <c r="D1488" s="1" t="s">
        <v>6769</v>
      </c>
      <c r="E1488" s="1" t="s">
        <v>6657</v>
      </c>
      <c r="F1488" s="4" t="s">
        <v>17</v>
      </c>
      <c r="G1488" s="1" t="s">
        <v>18</v>
      </c>
      <c r="H1488" s="1" t="s">
        <v>19</v>
      </c>
      <c r="I1488" s="1" t="s">
        <v>20</v>
      </c>
      <c r="J1488" s="1" t="s">
        <v>6770</v>
      </c>
      <c r="K1488" s="1" t="s">
        <v>22</v>
      </c>
      <c r="L1488" s="1" t="str">
        <f>HYPERLINK("https://files.afu.se/Downloads/Transcripts/0%20-%20Government/USA%20-%20NASA%20Kennedy/2011 02 15 - NASA's Kennedy Space Center - VAB Wall Signing  Dean Millsaps_zuBoToo3t_U - transcript (automated).pdf","Transcript Link")</f>
        <v>Transcript Link</v>
      </c>
      <c r="M1488" s="2" t="str">
        <f>HYPERLINK("https://files.afu.se/Downloads/Transcripts/0%20-%20Government/USA%20-%20NASA%20Kennedy/2011 02 15 - NASA's Kennedy Space Center - VAB Wall Signing  Dean Millsaps_zuBoToo3t_U - transcript (automated).pdf","Transcript Link")</f>
        <v>Transcript Link</v>
      </c>
    </row>
    <row r="1489" ht="225" spans="1:13">
      <c r="A1489" s="1" t="s">
        <v>6750</v>
      </c>
      <c r="B1489" s="1" t="s">
        <v>13</v>
      </c>
      <c r="C1489" s="4" t="s">
        <v>6771</v>
      </c>
      <c r="D1489" s="1" t="s">
        <v>6772</v>
      </c>
      <c r="E1489" s="1" t="s">
        <v>6657</v>
      </c>
      <c r="F1489" s="4" t="s">
        <v>17</v>
      </c>
      <c r="G1489" s="1" t="s">
        <v>18</v>
      </c>
      <c r="H1489" s="1" t="s">
        <v>19</v>
      </c>
      <c r="I1489" s="1" t="s">
        <v>20</v>
      </c>
      <c r="J1489" s="1" t="s">
        <v>6773</v>
      </c>
      <c r="K1489" s="1" t="s">
        <v>22</v>
      </c>
      <c r="L1489" s="1" t="str">
        <f>HYPERLINK("https://files.afu.se/Downloads/Transcripts/0%20-%20Government/USA%20-%20NASA%20Kennedy/2011 02 15 - NASA's Kennedy Space Center - VAB Wall Signing  Dean Pettit_5QH8O-D0ZVM - transcript (automated).pdf","Transcript Link")</f>
        <v>Transcript Link</v>
      </c>
      <c r="M1489" s="2" t="str">
        <f>HYPERLINK("https://files.afu.se/Downloads/Transcripts/0%20-%20Government/USA%20-%20NASA%20Kennedy/2011 02 15 - NASA's Kennedy Space Center - VAB Wall Signing  Dean Pettit_5QH8O-D0ZVM - transcript (automated).pdf","Transcript Link")</f>
        <v>Transcript Link</v>
      </c>
    </row>
    <row r="1490" ht="225" spans="1:13">
      <c r="A1490" s="1" t="s">
        <v>6750</v>
      </c>
      <c r="B1490" s="1" t="s">
        <v>13</v>
      </c>
      <c r="C1490" s="4" t="s">
        <v>6774</v>
      </c>
      <c r="D1490" s="1" t="s">
        <v>6775</v>
      </c>
      <c r="E1490" s="1" t="s">
        <v>6657</v>
      </c>
      <c r="F1490" s="4" t="s">
        <v>17</v>
      </c>
      <c r="G1490" s="1" t="s">
        <v>18</v>
      </c>
      <c r="H1490" s="1" t="s">
        <v>19</v>
      </c>
      <c r="I1490" s="1" t="s">
        <v>20</v>
      </c>
      <c r="J1490" s="1" t="s">
        <v>6776</v>
      </c>
      <c r="K1490" s="1" t="s">
        <v>22</v>
      </c>
      <c r="L1490" s="1" t="str">
        <f>HYPERLINK("https://files.afu.se/Downloads/Transcripts/0%20-%20Government/USA%20-%20NASA%20Kennedy/2011 02 15 - NASA's Kennedy Space Center - VAB Wall Signing  Corrie Lamkin_PHElawLRSHk - transcript (automated).pdf","Transcript Link")</f>
        <v>Transcript Link</v>
      </c>
      <c r="M1490" s="2" t="str">
        <f>HYPERLINK("https://files.afu.se/Downloads/Transcripts/0%20-%20Government/USA%20-%20NASA%20Kennedy/2011 02 15 - NASA's Kennedy Space Center - VAB Wall Signing  Corrie Lamkin_PHElawLRSHk - transcript (automated).pdf","Transcript Link")</f>
        <v>Transcript Link</v>
      </c>
    </row>
    <row r="1491" ht="225" spans="1:13">
      <c r="A1491" s="1" t="s">
        <v>6750</v>
      </c>
      <c r="B1491" s="1" t="s">
        <v>13</v>
      </c>
      <c r="C1491" s="4" t="s">
        <v>6777</v>
      </c>
      <c r="D1491" s="1" t="s">
        <v>6778</v>
      </c>
      <c r="E1491" s="1" t="s">
        <v>6657</v>
      </c>
      <c r="F1491" s="4" t="s">
        <v>17</v>
      </c>
      <c r="G1491" s="1" t="s">
        <v>18</v>
      </c>
      <c r="H1491" s="1" t="s">
        <v>19</v>
      </c>
      <c r="I1491" s="1" t="s">
        <v>20</v>
      </c>
      <c r="J1491" s="1" t="s">
        <v>6779</v>
      </c>
      <c r="K1491" s="1" t="s">
        <v>22</v>
      </c>
      <c r="L1491" s="1" t="str">
        <f>HYPERLINK("https://files.afu.se/Downloads/Transcripts/0%20-%20Government/USA%20-%20NASA%20Kennedy/2011 02 15 - NASA's Kennedy Space Center - VAB Wall Signing  Clark Ford_j70cDeDy9d4 - transcript (automated).pdf","Transcript Link")</f>
        <v>Transcript Link</v>
      </c>
      <c r="M1491" s="2" t="str">
        <f>HYPERLINK("https://files.afu.se/Downloads/Transcripts/0%20-%20Government/USA%20-%20NASA%20Kennedy/2011 02 15 - NASA's Kennedy Space Center - VAB Wall Signing  Clark Ford_j70cDeDy9d4 - transcript (automated).pdf","Transcript Link")</f>
        <v>Transcript Link</v>
      </c>
    </row>
    <row r="1492" ht="225" spans="1:13">
      <c r="A1492" s="1" t="s">
        <v>6750</v>
      </c>
      <c r="B1492" s="1" t="s">
        <v>13</v>
      </c>
      <c r="C1492" s="4" t="s">
        <v>6780</v>
      </c>
      <c r="D1492" s="1" t="s">
        <v>6781</v>
      </c>
      <c r="E1492" s="1" t="s">
        <v>6657</v>
      </c>
      <c r="F1492" s="4" t="s">
        <v>17</v>
      </c>
      <c r="G1492" s="1" t="s">
        <v>18</v>
      </c>
      <c r="H1492" s="1" t="s">
        <v>19</v>
      </c>
      <c r="I1492" s="1" t="s">
        <v>20</v>
      </c>
      <c r="J1492" s="1" t="s">
        <v>6782</v>
      </c>
      <c r="K1492" s="1" t="s">
        <v>22</v>
      </c>
      <c r="L1492" s="1" t="str">
        <f>HYPERLINK("https://files.afu.se/Downloads/Transcripts/0%20-%20Government/USA%20-%20NASA%20Kennedy/2011 02 15 - NASA's Kennedy Space Center - VAB Wall Signing  Chuck and Jane Kleinschmidt_ehrekVROQ3Y - transcript (automated).pdf","Transcript Link")</f>
        <v>Transcript Link</v>
      </c>
      <c r="M1492" s="2" t="str">
        <f>HYPERLINK("https://files.afu.se/Downloads/Transcripts/0%20-%20Government/USA%20-%20NASA%20Kennedy/2011 02 15 - NASA's Kennedy Space Center - VAB Wall Signing  Chuck and Jane Kleinschmidt_ehrekVROQ3Y - transcript (automated).pdf","Transcript Link")</f>
        <v>Transcript Link</v>
      </c>
    </row>
    <row r="1493" ht="225" spans="1:13">
      <c r="A1493" s="1" t="s">
        <v>6750</v>
      </c>
      <c r="B1493" s="1" t="s">
        <v>13</v>
      </c>
      <c r="C1493" s="4" t="s">
        <v>6783</v>
      </c>
      <c r="D1493" s="1" t="s">
        <v>6784</v>
      </c>
      <c r="E1493" s="1" t="s">
        <v>6657</v>
      </c>
      <c r="F1493" s="4" t="s">
        <v>17</v>
      </c>
      <c r="G1493" s="1" t="s">
        <v>18</v>
      </c>
      <c r="H1493" s="1" t="s">
        <v>19</v>
      </c>
      <c r="I1493" s="1" t="s">
        <v>20</v>
      </c>
      <c r="J1493" s="1" t="s">
        <v>6785</v>
      </c>
      <c r="K1493" s="1" t="s">
        <v>22</v>
      </c>
      <c r="L1493" s="1" t="str">
        <f>HYPERLINK("https://files.afu.se/Downloads/Transcripts/0%20-%20Government/USA%20-%20NASA%20Kennedy/2011 02 15 - NASA's Kennedy Space Center - VAB Wall Signing  Cathy DiBiase_k1A2XpIc2No - transcript (automated).pdf","Transcript Link")</f>
        <v>Transcript Link</v>
      </c>
      <c r="M1493" s="2" t="str">
        <f>HYPERLINK("https://files.afu.se/Downloads/Transcripts/0%20-%20Government/USA%20-%20NASA%20Kennedy/2011 02 15 - NASA's Kennedy Space Center - VAB Wall Signing  Cathy DiBiase_k1A2XpIc2No - transcript (automated).pdf","Transcript Link")</f>
        <v>Transcript Link</v>
      </c>
    </row>
    <row r="1494" ht="225" spans="1:13">
      <c r="A1494" s="1" t="s">
        <v>6750</v>
      </c>
      <c r="B1494" s="1" t="s">
        <v>13</v>
      </c>
      <c r="C1494" s="4" t="s">
        <v>6786</v>
      </c>
      <c r="D1494" s="1" t="s">
        <v>6787</v>
      </c>
      <c r="E1494" s="1" t="s">
        <v>6657</v>
      </c>
      <c r="F1494" s="4" t="s">
        <v>17</v>
      </c>
      <c r="G1494" s="1" t="s">
        <v>18</v>
      </c>
      <c r="H1494" s="1" t="s">
        <v>19</v>
      </c>
      <c r="I1494" s="1" t="s">
        <v>20</v>
      </c>
      <c r="J1494" s="1" t="s">
        <v>6788</v>
      </c>
      <c r="K1494" s="1" t="s">
        <v>22</v>
      </c>
      <c r="L1494" s="1" t="str">
        <f>HYPERLINK("https://files.afu.se/Downloads/Transcripts/0%20-%20Government/USA%20-%20NASA%20Kennedy/2011 02 15 - NASA's Kennedy Space Center - VAB Wall Signing  Brandon Gaskin_QlvNbRfuGxk - transcript (automated).pdf","Transcript Link")</f>
        <v>Transcript Link</v>
      </c>
      <c r="M1494" s="2" t="str">
        <f>HYPERLINK("https://files.afu.se/Downloads/Transcripts/0%20-%20Government/USA%20-%20NASA%20Kennedy/2011 02 15 - NASA's Kennedy Space Center - VAB Wall Signing  Brandon Gaskin_QlvNbRfuGxk - transcript (automated).pdf","Transcript Link")</f>
        <v>Transcript Link</v>
      </c>
    </row>
    <row r="1495" ht="225" spans="1:13">
      <c r="A1495" s="1" t="s">
        <v>6750</v>
      </c>
      <c r="B1495" s="1" t="s">
        <v>13</v>
      </c>
      <c r="C1495" s="4" t="s">
        <v>6789</v>
      </c>
      <c r="D1495" s="1" t="s">
        <v>6790</v>
      </c>
      <c r="E1495" s="1" t="s">
        <v>6657</v>
      </c>
      <c r="F1495" s="4" t="s">
        <v>17</v>
      </c>
      <c r="G1495" s="1" t="s">
        <v>18</v>
      </c>
      <c r="H1495" s="1" t="s">
        <v>19</v>
      </c>
      <c r="I1495" s="1" t="s">
        <v>20</v>
      </c>
      <c r="J1495" s="1" t="s">
        <v>6791</v>
      </c>
      <c r="K1495" s="1" t="s">
        <v>22</v>
      </c>
      <c r="L1495" s="1" t="str">
        <f>HYPERLINK("https://files.afu.se/Downloads/Transcripts/0%20-%20Government/USA%20-%20NASA%20Kennedy/2011 02 15 - NASA's Kennedy Space Center - VAB Wall Signing  Berni, Dave, Cordell and Hal_0qgGRhlJ2UY - transcript (automated).pdf","Transcript Link")</f>
        <v>Transcript Link</v>
      </c>
      <c r="M1495" s="2" t="str">
        <f>HYPERLINK("https://files.afu.se/Downloads/Transcripts/0%20-%20Government/USA%20-%20NASA%20Kennedy/2011 02 15 - NASA's Kennedy Space Center - VAB Wall Signing  Berni, Dave, Cordell and Hal_0qgGRhlJ2UY - transcript (automated).pdf","Transcript Link")</f>
        <v>Transcript Link</v>
      </c>
    </row>
    <row r="1496" ht="225" spans="1:13">
      <c r="A1496" s="1" t="s">
        <v>6750</v>
      </c>
      <c r="B1496" s="1" t="s">
        <v>13</v>
      </c>
      <c r="C1496" s="4" t="s">
        <v>6792</v>
      </c>
      <c r="D1496" s="1" t="s">
        <v>6793</v>
      </c>
      <c r="E1496" s="1" t="s">
        <v>6657</v>
      </c>
      <c r="F1496" s="4" t="s">
        <v>17</v>
      </c>
      <c r="G1496" s="1" t="s">
        <v>18</v>
      </c>
      <c r="H1496" s="1" t="s">
        <v>19</v>
      </c>
      <c r="I1496" s="1" t="s">
        <v>20</v>
      </c>
      <c r="J1496" s="1" t="s">
        <v>6794</v>
      </c>
      <c r="K1496" s="1" t="s">
        <v>22</v>
      </c>
      <c r="L1496" s="1" t="str">
        <f>HYPERLINK("https://files.afu.se/Downloads/Transcripts/0%20-%20Government/USA%20-%20NASA%20Kennedy/2011 02 15 - NASA's Kennedy Space Center - VAB Wall Signing  Becky, Bob, and Jamie_jzw92KSlpA0 - transcript (automated).pdf","Transcript Link")</f>
        <v>Transcript Link</v>
      </c>
      <c r="M1496" s="2" t="str">
        <f>HYPERLINK("https://files.afu.se/Downloads/Transcripts/0%20-%20Government/USA%20-%20NASA%20Kennedy/2011 02 15 - NASA's Kennedy Space Center - VAB Wall Signing  Becky, Bob, and Jamie_jzw92KSlpA0 - transcript (automated).pdf","Transcript Link")</f>
        <v>Transcript Link</v>
      </c>
    </row>
    <row r="1497" ht="225" spans="1:13">
      <c r="A1497" s="1" t="s">
        <v>6750</v>
      </c>
      <c r="B1497" s="1" t="s">
        <v>13</v>
      </c>
      <c r="C1497" s="4" t="s">
        <v>6795</v>
      </c>
      <c r="D1497" s="1" t="s">
        <v>6796</v>
      </c>
      <c r="E1497" s="1" t="s">
        <v>6657</v>
      </c>
      <c r="F1497" s="4" t="s">
        <v>17</v>
      </c>
      <c r="G1497" s="1" t="s">
        <v>18</v>
      </c>
      <c r="H1497" s="1" t="s">
        <v>19</v>
      </c>
      <c r="I1497" s="1" t="s">
        <v>20</v>
      </c>
      <c r="J1497" s="1" t="s">
        <v>6797</v>
      </c>
      <c r="K1497" s="1" t="s">
        <v>22</v>
      </c>
      <c r="L1497" s="1" t="str">
        <f>HYPERLINK("https://files.afu.se/Downloads/Transcripts/0%20-%20Government/USA%20-%20NASA%20Kennedy/2011 02 15 - NASA's Kennedy Space Center - VAB Wall Signing  Antonio Pego_cOfU4xFk-6k - transcript (automated).pdf","Transcript Link")</f>
        <v>Transcript Link</v>
      </c>
      <c r="M1497" s="2" t="str">
        <f>HYPERLINK("https://files.afu.se/Downloads/Transcripts/0%20-%20Government/USA%20-%20NASA%20Kennedy/2011 02 15 - NASA's Kennedy Space Center - VAB Wall Signing  Antonio Pego_cOfU4xFk-6k - transcript (automated).pdf","Transcript Link")</f>
        <v>Transcript Link</v>
      </c>
    </row>
    <row r="1498" ht="225" spans="1:13">
      <c r="A1498" s="1" t="s">
        <v>6750</v>
      </c>
      <c r="B1498" s="1" t="s">
        <v>13</v>
      </c>
      <c r="C1498" s="4" t="s">
        <v>6798</v>
      </c>
      <c r="D1498" s="1" t="s">
        <v>6799</v>
      </c>
      <c r="E1498" s="1" t="s">
        <v>6657</v>
      </c>
      <c r="F1498" s="4" t="s">
        <v>17</v>
      </c>
      <c r="G1498" s="1" t="s">
        <v>18</v>
      </c>
      <c r="H1498" s="1" t="s">
        <v>19</v>
      </c>
      <c r="I1498" s="1" t="s">
        <v>20</v>
      </c>
      <c r="J1498" s="1" t="s">
        <v>6800</v>
      </c>
      <c r="K1498" s="1" t="s">
        <v>22</v>
      </c>
      <c r="L1498" s="1" t="str">
        <f>HYPERLINK("https://files.afu.se/Downloads/Transcripts/0%20-%20Government/USA%20-%20NASA%20Kennedy/2011 02 15 - NASA's Kennedy Space Center - VAB Wall Signing  Angie Brewer_mwpgm-RgLaM - transcript (automated).pdf","Transcript Link")</f>
        <v>Transcript Link</v>
      </c>
      <c r="M1498" s="2" t="str">
        <f>HYPERLINK("https://files.afu.se/Downloads/Transcripts/0%20-%20Government/USA%20-%20NASA%20Kennedy/2011 02 15 - NASA's Kennedy Space Center - VAB Wall Signing  Angie Brewer_mwpgm-RgLaM - transcript (automated).pdf","Transcript Link")</f>
        <v>Transcript Link</v>
      </c>
    </row>
    <row r="1499" ht="225" spans="1:13">
      <c r="A1499" s="1" t="s">
        <v>6750</v>
      </c>
      <c r="B1499" s="1" t="s">
        <v>13</v>
      </c>
      <c r="C1499" s="4" t="s">
        <v>6801</v>
      </c>
      <c r="D1499" s="1" t="s">
        <v>6802</v>
      </c>
      <c r="E1499" s="1" t="s">
        <v>6657</v>
      </c>
      <c r="F1499" s="4" t="s">
        <v>17</v>
      </c>
      <c r="G1499" s="1" t="s">
        <v>18</v>
      </c>
      <c r="H1499" s="1" t="s">
        <v>19</v>
      </c>
      <c r="I1499" s="1" t="s">
        <v>20</v>
      </c>
      <c r="J1499" s="1" t="s">
        <v>6803</v>
      </c>
      <c r="K1499" s="1" t="s">
        <v>22</v>
      </c>
      <c r="L1499" s="1" t="str">
        <f>HYPERLINK("https://files.afu.se/Downloads/Transcripts/0%20-%20Government/USA%20-%20NASA%20Kennedy/2011 02 15 - NASA's Kennedy Space Center - VAB Wall Signing  Alonzo Gee_k7ir25YuZHA - transcript (automated).pdf","Transcript Link")</f>
        <v>Transcript Link</v>
      </c>
      <c r="M1499" s="2" t="str">
        <f>HYPERLINK("https://files.afu.se/Downloads/Transcripts/0%20-%20Government/USA%20-%20NASA%20Kennedy/2011 02 15 - NASA's Kennedy Space Center - VAB Wall Signing  Alonzo Gee_k7ir25YuZHA - transcript (automated).pdf","Transcript Link")</f>
        <v>Transcript Link</v>
      </c>
    </row>
    <row r="1500" ht="225" spans="1:13">
      <c r="A1500" s="1" t="s">
        <v>6750</v>
      </c>
      <c r="B1500" s="1" t="s">
        <v>13</v>
      </c>
      <c r="C1500" s="4" t="s">
        <v>6804</v>
      </c>
      <c r="D1500" s="1" t="s">
        <v>6805</v>
      </c>
      <c r="E1500" s="1" t="s">
        <v>6657</v>
      </c>
      <c r="F1500" s="4" t="s">
        <v>17</v>
      </c>
      <c r="G1500" s="1" t="s">
        <v>18</v>
      </c>
      <c r="H1500" s="1" t="s">
        <v>19</v>
      </c>
      <c r="I1500" s="1" t="s">
        <v>20</v>
      </c>
      <c r="J1500" s="1" t="s">
        <v>6806</v>
      </c>
      <c r="K1500" s="1" t="s">
        <v>22</v>
      </c>
      <c r="L1500" s="1" t="str">
        <f>HYPERLINK("https://files.afu.se/Downloads/Transcripts/0%20-%20Government/USA%20-%20NASA%20Kennedy/2011 02 15 - NASA's Kennedy Space Center - VAB Wall Signing  Albert Fazio_M3s6eJ1ocbI - transcript (automated).pdf","Transcript Link")</f>
        <v>Transcript Link</v>
      </c>
      <c r="M1500" s="2" t="str">
        <f>HYPERLINK("https://files.afu.se/Downloads/Transcripts/0%20-%20Government/USA%20-%20NASA%20Kennedy/2011 02 15 - NASA's Kennedy Space Center - VAB Wall Signing  Albert Fazio_M3s6eJ1ocbI - transcript (automated).pdf","Transcript Link")</f>
        <v>Transcript Link</v>
      </c>
    </row>
    <row r="1501" ht="180" spans="1:13">
      <c r="A1501" s="1" t="s">
        <v>6807</v>
      </c>
      <c r="B1501" s="1" t="s">
        <v>13</v>
      </c>
      <c r="C1501" s="4" t="s">
        <v>6808</v>
      </c>
      <c r="D1501" s="1" t="s">
        <v>6809</v>
      </c>
      <c r="E1501" s="1" t="s">
        <v>6810</v>
      </c>
      <c r="F1501" s="4" t="s">
        <v>17</v>
      </c>
      <c r="G1501" s="1" t="s">
        <v>18</v>
      </c>
      <c r="H1501" s="1" t="s">
        <v>19</v>
      </c>
      <c r="I1501" s="1" t="s">
        <v>20</v>
      </c>
      <c r="J1501" s="1" t="s">
        <v>6811</v>
      </c>
      <c r="K1501" s="1" t="s">
        <v>22</v>
      </c>
      <c r="L1501" s="1" t="str">
        <f>HYPERLINK("https://files.afu.se/Downloads/Transcripts/0%20-%20Government/USA%20-%20NASA%20Kennedy/2011 02 01 - NASA's Kennedy Space Center - STS-133 Rollout_EOpZNPvj-PA - transcript (automated).pdf","Transcript Link")</f>
        <v>Transcript Link</v>
      </c>
      <c r="M1501" s="2" t="str">
        <f>HYPERLINK("https://files.afu.se/Downloads/Transcripts/0%20-%20Government/USA%20-%20NASA%20Kennedy/2011 02 01 - NASA's Kennedy Space Center - STS-133 Rollout_EOpZNPvj-PA - transcript (automated).pdf","Transcript Link")</f>
        <v>Transcript Link</v>
      </c>
    </row>
    <row r="1502" ht="240" spans="1:13">
      <c r="A1502" s="1" t="s">
        <v>6812</v>
      </c>
      <c r="B1502" s="1" t="s">
        <v>13</v>
      </c>
      <c r="C1502" s="4" t="s">
        <v>6813</v>
      </c>
      <c r="D1502" s="1" t="s">
        <v>6814</v>
      </c>
      <c r="E1502" s="1" t="s">
        <v>6815</v>
      </c>
      <c r="F1502" s="4" t="s">
        <v>17</v>
      </c>
      <c r="G1502" s="1" t="s">
        <v>18</v>
      </c>
      <c r="H1502" s="1" t="s">
        <v>19</v>
      </c>
      <c r="I1502" s="1" t="s">
        <v>20</v>
      </c>
      <c r="J1502" s="1" t="s">
        <v>6816</v>
      </c>
      <c r="K1502" s="1" t="s">
        <v>22</v>
      </c>
      <c r="L1502" s="1" t="str">
        <f>HYPERLINK("https://files.afu.se/Downloads/Transcripts/0%20-%20Government/USA%20-%20NASA%20Kennedy/2011 01 28 - NASA's Kennedy Space Center - Kennedy Space Center 25th Anniversary of the Challenger Tragedy_3xV2icSF2T8 - transcript (automated).pdf","Transcript Link")</f>
        <v>Transcript Link</v>
      </c>
      <c r="M1502" s="2" t="str">
        <f>HYPERLINK("https://files.afu.se/Downloads/Transcripts/0%20-%20Government/USA%20-%20NASA%20Kennedy/2011 01 28 - NASA's Kennedy Space Center - Kennedy Space Center 25th Anniversary of the Challenger Tragedy_3xV2icSF2T8 - transcript (automated).pdf","Transcript Link")</f>
        <v>Transcript Link</v>
      </c>
    </row>
    <row r="1503" ht="180" spans="1:13">
      <c r="A1503" s="1" t="s">
        <v>6817</v>
      </c>
      <c r="B1503" s="1" t="s">
        <v>13</v>
      </c>
      <c r="C1503" s="4" t="s">
        <v>6818</v>
      </c>
      <c r="D1503" s="1" t="s">
        <v>6819</v>
      </c>
      <c r="E1503" s="1" t="s">
        <v>5710</v>
      </c>
      <c r="F1503" s="4" t="s">
        <v>17</v>
      </c>
      <c r="G1503" s="1" t="s">
        <v>18</v>
      </c>
      <c r="H1503" s="1" t="s">
        <v>19</v>
      </c>
      <c r="I1503" s="1" t="s">
        <v>20</v>
      </c>
      <c r="J1503" s="1" t="s">
        <v>6820</v>
      </c>
      <c r="K1503" s="1" t="s">
        <v>22</v>
      </c>
      <c r="L1503" s="1" t="str">
        <f>HYPERLINK("https://files.afu.se/Downloads/Transcripts/0%20-%20Government/USA%20-%20NASA%20Kennedy/2011 01 26 - NASA's Kennedy Space Center - Green Touches Energize Kennedy's Newest Facility_llgl_rhe4vg - transcript (automated).pdf","Transcript Link")</f>
        <v>Transcript Link</v>
      </c>
      <c r="M1503" s="2" t="str">
        <f>HYPERLINK("https://files.afu.se/Downloads/Transcripts/0%20-%20Government/USA%20-%20NASA%20Kennedy/2011 01 26 - NASA's Kennedy Space Center - Green Touches Energize Kennedy's Newest Facility_llgl_rhe4vg - transcript (automated).pdf","Transcript Link")</f>
        <v>Transcript Link</v>
      </c>
    </row>
    <row r="1504" ht="210" spans="1:13">
      <c r="A1504" s="1" t="s">
        <v>6821</v>
      </c>
      <c r="B1504" s="1" t="s">
        <v>13</v>
      </c>
      <c r="C1504" s="4" t="s">
        <v>6822</v>
      </c>
      <c r="D1504" s="1" t="s">
        <v>6823</v>
      </c>
      <c r="E1504" s="1" t="s">
        <v>6824</v>
      </c>
      <c r="F1504" s="4" t="s">
        <v>17</v>
      </c>
      <c r="G1504" s="1" t="s">
        <v>18</v>
      </c>
      <c r="H1504" s="1" t="s">
        <v>19</v>
      </c>
      <c r="I1504" s="1" t="s">
        <v>20</v>
      </c>
      <c r="J1504" s="1" t="s">
        <v>6825</v>
      </c>
      <c r="K1504" s="1" t="s">
        <v>22</v>
      </c>
      <c r="L1504" s="1" t="str">
        <f>HYPERLINK("https://files.afu.se/Downloads/Transcripts/0%20-%20Government/USA%20-%20NASA%20Kennedy/2011 01 24 - NASA's Kennedy Space Center - Space Shuttle Flyout Series  Launch Directors_szvEdc3Vnpw - transcript (automated).pdf","Transcript Link")</f>
        <v>Transcript Link</v>
      </c>
      <c r="M1504" s="2" t="str">
        <f>HYPERLINK("https://files.afu.se/Downloads/Transcripts/0%20-%20Government/USA%20-%20NASA%20Kennedy/2011 01 24 - NASA's Kennedy Space Center - Space Shuttle Flyout Series  Launch Directors_szvEdc3Vnpw - transcript (automated).pdf","Transcript Link")</f>
        <v>Transcript Link</v>
      </c>
    </row>
    <row r="1505" ht="210" spans="1:13">
      <c r="A1505" s="1" t="s">
        <v>6826</v>
      </c>
      <c r="B1505" s="1" t="s">
        <v>13</v>
      </c>
      <c r="C1505" s="4" t="s">
        <v>6827</v>
      </c>
      <c r="D1505" s="1" t="s">
        <v>6828</v>
      </c>
      <c r="E1505" s="1" t="s">
        <v>6829</v>
      </c>
      <c r="F1505" s="4" t="s">
        <v>17</v>
      </c>
      <c r="G1505" s="1" t="s">
        <v>18</v>
      </c>
      <c r="H1505" s="1" t="s">
        <v>19</v>
      </c>
      <c r="I1505" s="1" t="s">
        <v>20</v>
      </c>
      <c r="J1505" s="1" t="s">
        <v>6830</v>
      </c>
      <c r="K1505" s="1" t="s">
        <v>22</v>
      </c>
      <c r="L1505" s="1" t="str">
        <f>HYPERLINK("https://files.afu.se/Downloads/Transcripts/0%20-%20Government/USA%20-%20NASA%20Kennedy/2010 12 22 - NASA's Kennedy Space Center - In Their Own Words  Astronaut Leland Melvin_UihABM410w8 - transcript (automated).pdf","Transcript Link")</f>
        <v>Transcript Link</v>
      </c>
      <c r="M1505" s="2" t="str">
        <f>HYPERLINK("https://files.afu.se/Downloads/Transcripts/0%20-%20Government/USA%20-%20NASA%20Kennedy/2010 12 22 - NASA's Kennedy Space Center - In Their Own Words  Astronaut Leland Melvin_UihABM410w8 - transcript (automated).pdf","Transcript Link")</f>
        <v>Transcript Link</v>
      </c>
    </row>
    <row r="1506" ht="285" spans="1:13">
      <c r="A1506" s="1" t="s">
        <v>6831</v>
      </c>
      <c r="B1506" s="1" t="s">
        <v>13</v>
      </c>
      <c r="C1506" s="4" t="s">
        <v>6832</v>
      </c>
      <c r="D1506" s="1" t="s">
        <v>6833</v>
      </c>
      <c r="E1506" s="1" t="s">
        <v>6834</v>
      </c>
      <c r="F1506" s="4" t="s">
        <v>17</v>
      </c>
      <c r="G1506" s="1" t="s">
        <v>18</v>
      </c>
      <c r="H1506" s="1" t="s">
        <v>19</v>
      </c>
      <c r="I1506" s="1" t="s">
        <v>20</v>
      </c>
      <c r="J1506" s="1" t="s">
        <v>6835</v>
      </c>
      <c r="K1506" s="1" t="s">
        <v>22</v>
      </c>
      <c r="L1506" s="1" t="str">
        <f>HYPERLINK("https://files.afu.se/Downloads/Transcripts/0%20-%20Government/USA%20-%20NASA%20Kennedy/2010 12 21 - NASA's Kennedy Space Center - NASA STEREO Launch_fjwcssuUb5Y - transcript (automated).pdf","Transcript Link")</f>
        <v>Transcript Link</v>
      </c>
      <c r="M1506" s="2" t="str">
        <f>HYPERLINK("https://files.afu.se/Downloads/Transcripts/0%20-%20Government/USA%20-%20NASA%20Kennedy/2010 12 21 - NASA's Kennedy Space Center - NASA STEREO Launch_fjwcssuUb5Y - transcript (automated).pdf","Transcript Link")</f>
        <v>Transcript Link</v>
      </c>
    </row>
    <row r="1507" ht="240" spans="1:13">
      <c r="A1507" s="1" t="s">
        <v>6831</v>
      </c>
      <c r="B1507" s="1" t="s">
        <v>13</v>
      </c>
      <c r="C1507" s="4" t="s">
        <v>6836</v>
      </c>
      <c r="D1507" s="1" t="s">
        <v>6837</v>
      </c>
      <c r="E1507" s="1" t="s">
        <v>6838</v>
      </c>
      <c r="F1507" s="4" t="s">
        <v>17</v>
      </c>
      <c r="G1507" s="1" t="s">
        <v>18</v>
      </c>
      <c r="H1507" s="1" t="s">
        <v>19</v>
      </c>
      <c r="I1507" s="1" t="s">
        <v>20</v>
      </c>
      <c r="J1507" s="1" t="s">
        <v>6839</v>
      </c>
      <c r="K1507" s="1" t="s">
        <v>22</v>
      </c>
      <c r="L1507" s="1" t="str">
        <f>HYPERLINK("https://files.afu.se/Downloads/Transcripts/0%20-%20Government/USA%20-%20NASA%20Kennedy/2010 12 21 - NASA's Kennedy Space Center - STS-115 Space Shuttle Landing_9fiUYbitL88 - transcript (automated).pdf","Transcript Link")</f>
        <v>Transcript Link</v>
      </c>
      <c r="M1507" s="2" t="str">
        <f>HYPERLINK("https://files.afu.se/Downloads/Transcripts/0%20-%20Government/USA%20-%20NASA%20Kennedy/2010 12 21 - NASA's Kennedy Space Center - STS-115 Space Shuttle Landing_9fiUYbitL88 - transcript (automated).pdf","Transcript Link")</f>
        <v>Transcript Link</v>
      </c>
    </row>
    <row r="1508" ht="240" spans="1:13">
      <c r="A1508" s="1" t="s">
        <v>6831</v>
      </c>
      <c r="B1508" s="1" t="s">
        <v>13</v>
      </c>
      <c r="C1508" s="4" t="s">
        <v>6840</v>
      </c>
      <c r="D1508" s="1" t="s">
        <v>6841</v>
      </c>
      <c r="E1508" s="1" t="s">
        <v>6842</v>
      </c>
      <c r="F1508" s="4" t="s">
        <v>17</v>
      </c>
      <c r="G1508" s="1" t="s">
        <v>18</v>
      </c>
      <c r="H1508" s="1" t="s">
        <v>19</v>
      </c>
      <c r="I1508" s="1" t="s">
        <v>20</v>
      </c>
      <c r="J1508" s="1" t="s">
        <v>6843</v>
      </c>
      <c r="K1508" s="1" t="s">
        <v>22</v>
      </c>
      <c r="L1508" s="1" t="str">
        <f>HYPERLINK("https://files.afu.se/Downloads/Transcripts/0%20-%20Government/USA%20-%20NASA%20Kennedy/2010 12 21 - NASA's Kennedy Space Center - STS-115 Space Shuttle Launch_NhOkuMYy_wY - transcript (automated).pdf","Transcript Link")</f>
        <v>Transcript Link</v>
      </c>
      <c r="M1508" s="2" t="str">
        <f>HYPERLINK("https://files.afu.se/Downloads/Transcripts/0%20-%20Government/USA%20-%20NASA%20Kennedy/2010 12 21 - NASA's Kennedy Space Center - STS-115 Space Shuttle Launch_NhOkuMYy_wY - transcript (automated).pdf","Transcript Link")</f>
        <v>Transcript Link</v>
      </c>
    </row>
    <row r="1509" ht="255" spans="1:13">
      <c r="A1509" s="1" t="s">
        <v>6831</v>
      </c>
      <c r="B1509" s="1" t="s">
        <v>13</v>
      </c>
      <c r="C1509" s="4" t="s">
        <v>6844</v>
      </c>
      <c r="D1509" s="1" t="s">
        <v>6845</v>
      </c>
      <c r="E1509" s="1" t="s">
        <v>6846</v>
      </c>
      <c r="F1509" s="4" t="s">
        <v>17</v>
      </c>
      <c r="G1509" s="1" t="s">
        <v>18</v>
      </c>
      <c r="H1509" s="1" t="s">
        <v>19</v>
      </c>
      <c r="I1509" s="1" t="s">
        <v>20</v>
      </c>
      <c r="J1509" s="1" t="s">
        <v>6847</v>
      </c>
      <c r="K1509" s="1" t="s">
        <v>22</v>
      </c>
      <c r="L1509" s="1" t="str">
        <f>HYPERLINK("https://files.afu.se/Downloads/Transcripts/0%20-%20Government/USA%20-%20NASA%20Kennedy/2010 12 21 - NASA's Kennedy Space Center - NASA THEMIS Launch_I5v2dhGRu2w - transcript (automated).pdf","Transcript Link")</f>
        <v>Transcript Link</v>
      </c>
      <c r="M1509" s="2" t="str">
        <f>HYPERLINK("https://files.afu.se/Downloads/Transcripts/0%20-%20Government/USA%20-%20NASA%20Kennedy/2010 12 21 - NASA's Kennedy Space Center - NASA THEMIS Launch_I5v2dhGRu2w - transcript (automated).pdf","Transcript Link")</f>
        <v>Transcript Link</v>
      </c>
    </row>
    <row r="1510" ht="225" spans="1:13">
      <c r="A1510" s="1" t="s">
        <v>6831</v>
      </c>
      <c r="B1510" s="1" t="s">
        <v>13</v>
      </c>
      <c r="C1510" s="4" t="s">
        <v>6848</v>
      </c>
      <c r="D1510" s="1" t="s">
        <v>6849</v>
      </c>
      <c r="E1510" s="1" t="s">
        <v>6850</v>
      </c>
      <c r="F1510" s="4" t="s">
        <v>17</v>
      </c>
      <c r="G1510" s="1" t="s">
        <v>18</v>
      </c>
      <c r="H1510" s="1" t="s">
        <v>19</v>
      </c>
      <c r="I1510" s="1" t="s">
        <v>20</v>
      </c>
      <c r="J1510" s="1" t="s">
        <v>6851</v>
      </c>
      <c r="K1510" s="1" t="s">
        <v>22</v>
      </c>
      <c r="L1510" s="1" t="str">
        <f>HYPERLINK("https://files.afu.se/Downloads/Transcripts/0%20-%20Government/USA%20-%20NASA%20Kennedy/2010 12 21 - NASA's Kennedy Space Center - STS-121 SHUTTLE Launch_XX7-yFeyZH4 - transcript (automated).pdf","Transcript Link")</f>
        <v>Transcript Link</v>
      </c>
      <c r="M1510" s="2" t="str">
        <f>HYPERLINK("https://files.afu.se/Downloads/Transcripts/0%20-%20Government/USA%20-%20NASA%20Kennedy/2010 12 21 - NASA's Kennedy Space Center - STS-121 SHUTTLE Launch_XX7-yFeyZH4 - transcript (automated).pdf","Transcript Link")</f>
        <v>Transcript Link</v>
      </c>
    </row>
    <row r="1511" ht="255" spans="1:13">
      <c r="A1511" s="1" t="s">
        <v>6831</v>
      </c>
      <c r="B1511" s="1" t="s">
        <v>13</v>
      </c>
      <c r="C1511" s="4" t="s">
        <v>6852</v>
      </c>
      <c r="D1511" s="1" t="s">
        <v>6853</v>
      </c>
      <c r="E1511" s="1" t="s">
        <v>6854</v>
      </c>
      <c r="F1511" s="4" t="s">
        <v>17</v>
      </c>
      <c r="G1511" s="1" t="s">
        <v>18</v>
      </c>
      <c r="H1511" s="1" t="s">
        <v>19</v>
      </c>
      <c r="I1511" s="1" t="s">
        <v>20</v>
      </c>
      <c r="J1511" s="1" t="s">
        <v>6855</v>
      </c>
      <c r="K1511" s="1" t="s">
        <v>22</v>
      </c>
      <c r="L1511" s="1" t="str">
        <f>HYPERLINK("https://files.afu.se/Downloads/Transcripts/0%20-%20Government/USA%20-%20NASA%20Kennedy/2010 12 21 - NASA's Kennedy Space Center - STS-121 Shuttle Landing_stn1itXZd4Q - transcript (automated).pdf","Transcript Link")</f>
        <v>Transcript Link</v>
      </c>
      <c r="M1511" s="2" t="str">
        <f>HYPERLINK("https://files.afu.se/Downloads/Transcripts/0%20-%20Government/USA%20-%20NASA%20Kennedy/2010 12 21 - NASA's Kennedy Space Center - STS-121 Shuttle Landing_stn1itXZd4Q - transcript (automated).pdf","Transcript Link")</f>
        <v>Transcript Link</v>
      </c>
    </row>
    <row r="1512" ht="240" spans="1:13">
      <c r="A1512" s="1" t="s">
        <v>6831</v>
      </c>
      <c r="B1512" s="1" t="s">
        <v>13</v>
      </c>
      <c r="C1512" s="4" t="s">
        <v>6856</v>
      </c>
      <c r="D1512" s="1" t="s">
        <v>6857</v>
      </c>
      <c r="E1512" s="1" t="s">
        <v>6858</v>
      </c>
      <c r="F1512" s="4" t="s">
        <v>17</v>
      </c>
      <c r="G1512" s="1" t="s">
        <v>18</v>
      </c>
      <c r="H1512" s="1" t="s">
        <v>19</v>
      </c>
      <c r="I1512" s="1" t="s">
        <v>20</v>
      </c>
      <c r="J1512" s="1" t="s">
        <v>6859</v>
      </c>
      <c r="K1512" s="1" t="s">
        <v>22</v>
      </c>
      <c r="L1512" s="1" t="str">
        <f>HYPERLINK("https://files.afu.se/Downloads/Transcripts/0%20-%20Government/USA%20-%20NASA%20Kennedy/2010 12 21 - NASA's Kennedy Space Center - STS-116 Space Shuttle Landing_l82qSyz_3lc - transcript (automated).pdf","Transcript Link")</f>
        <v>Transcript Link</v>
      </c>
      <c r="M1512" s="2" t="str">
        <f>HYPERLINK("https://files.afu.se/Downloads/Transcripts/0%20-%20Government/USA%20-%20NASA%20Kennedy/2010 12 21 - NASA's Kennedy Space Center - STS-116 Space Shuttle Landing_l82qSyz_3lc - transcript (automated).pdf","Transcript Link")</f>
        <v>Transcript Link</v>
      </c>
    </row>
    <row r="1513" ht="180" spans="1:13">
      <c r="A1513" s="1" t="s">
        <v>6831</v>
      </c>
      <c r="B1513" s="1" t="s">
        <v>13</v>
      </c>
      <c r="C1513" s="4" t="s">
        <v>6860</v>
      </c>
      <c r="D1513" s="1" t="s">
        <v>6861</v>
      </c>
      <c r="E1513" s="1" t="s">
        <v>6862</v>
      </c>
      <c r="F1513" s="4" t="s">
        <v>17</v>
      </c>
      <c r="G1513" s="1" t="s">
        <v>18</v>
      </c>
      <c r="H1513" s="1" t="s">
        <v>19</v>
      </c>
      <c r="I1513" s="1" t="s">
        <v>20</v>
      </c>
      <c r="J1513" s="1" t="s">
        <v>6863</v>
      </c>
      <c r="K1513" s="1" t="s">
        <v>22</v>
      </c>
      <c r="L1513" s="1" t="str">
        <f>HYPERLINK("https://files.afu.se/Downloads/Transcripts/0%20-%20Government/USA%20-%20NASA%20Kennedy/2010 12 21 - NASA's Kennedy Space Center - STS-116 Space Shuttle Launch_4AhO0Aqa2rQ - transcript (automated).pdf","Transcript Link")</f>
        <v>Transcript Link</v>
      </c>
      <c r="M1513" s="2" t="str">
        <f>HYPERLINK("https://files.afu.se/Downloads/Transcripts/0%20-%20Government/USA%20-%20NASA%20Kennedy/2010 12 21 - NASA's Kennedy Space Center - STS-116 Space Shuttle Launch_4AhO0Aqa2rQ - transcript (automated).pdf","Transcript Link")</f>
        <v>Transcript Link</v>
      </c>
    </row>
    <row r="1514" ht="270" spans="1:13">
      <c r="A1514" s="1" t="s">
        <v>6831</v>
      </c>
      <c r="B1514" s="1" t="s">
        <v>13</v>
      </c>
      <c r="C1514" s="4" t="s">
        <v>6864</v>
      </c>
      <c r="D1514" s="1" t="s">
        <v>6865</v>
      </c>
      <c r="E1514" s="1" t="s">
        <v>6866</v>
      </c>
      <c r="F1514" s="4" t="s">
        <v>17</v>
      </c>
      <c r="G1514" s="1" t="s">
        <v>18</v>
      </c>
      <c r="H1514" s="1" t="s">
        <v>19</v>
      </c>
      <c r="I1514" s="1" t="s">
        <v>20</v>
      </c>
      <c r="J1514" s="1" t="s">
        <v>6867</v>
      </c>
      <c r="K1514" s="1" t="s">
        <v>22</v>
      </c>
      <c r="L1514" s="1" t="str">
        <f>HYPERLINK("https://files.afu.se/Downloads/Transcripts/0%20-%20Government/USA%20-%20NASA%20Kennedy/2010 12 21 - NASA's Kennedy Space Center - NASA's AIM Launch_AS4d1FQmj-w - transcript (automated).pdf","Transcript Link")</f>
        <v>Transcript Link</v>
      </c>
      <c r="M1514" s="2" t="str">
        <f>HYPERLINK("https://files.afu.se/Downloads/Transcripts/0%20-%20Government/USA%20-%20NASA%20Kennedy/2010 12 21 - NASA's Kennedy Space Center - NASA's AIM Launch_AS4d1FQmj-w - transcript (automated).pdf","Transcript Link")</f>
        <v>Transcript Link</v>
      </c>
    </row>
    <row r="1515" ht="210" spans="1:13">
      <c r="A1515" s="1" t="s">
        <v>6831</v>
      </c>
      <c r="B1515" s="1" t="s">
        <v>13</v>
      </c>
      <c r="C1515" s="4" t="s">
        <v>6868</v>
      </c>
      <c r="D1515" s="1" t="s">
        <v>6869</v>
      </c>
      <c r="E1515" s="1" t="s">
        <v>6870</v>
      </c>
      <c r="F1515" s="4" t="s">
        <v>17</v>
      </c>
      <c r="G1515" s="1" t="s">
        <v>18</v>
      </c>
      <c r="H1515" s="1" t="s">
        <v>19</v>
      </c>
      <c r="I1515" s="1" t="s">
        <v>20</v>
      </c>
      <c r="J1515" s="1" t="s">
        <v>6871</v>
      </c>
      <c r="K1515" s="1" t="s">
        <v>22</v>
      </c>
      <c r="L1515" s="1" t="str">
        <f>HYPERLINK("https://files.afu.se/Downloads/Transcripts/0%20-%20Government/USA%20-%20NASA%20Kennedy/2010 12 21 - NASA's Kennedy Space Center - Chandra X-ray Observatory - Episode 1_yTFL881jaMo - transcript (automated).pdf","Transcript Link")</f>
        <v>Transcript Link</v>
      </c>
      <c r="M1515" s="2" t="str">
        <f>HYPERLINK("https://files.afu.se/Downloads/Transcripts/0%20-%20Government/USA%20-%20NASA%20Kennedy/2010 12 21 - NASA's Kennedy Space Center - Chandra X-ray Observatory - Episode 1_yTFL881jaMo - transcript (automated).pdf","Transcript Link")</f>
        <v>Transcript Link</v>
      </c>
    </row>
    <row r="1516" ht="255" spans="1:13">
      <c r="A1516" s="1" t="s">
        <v>6872</v>
      </c>
      <c r="B1516" s="1" t="s">
        <v>13</v>
      </c>
      <c r="C1516" s="4" t="s">
        <v>6873</v>
      </c>
      <c r="D1516" s="1" t="s">
        <v>6874</v>
      </c>
      <c r="E1516" s="1" t="s">
        <v>6875</v>
      </c>
      <c r="F1516" s="4" t="s">
        <v>17</v>
      </c>
      <c r="G1516" s="1" t="s">
        <v>18</v>
      </c>
      <c r="H1516" s="1" t="s">
        <v>19</v>
      </c>
      <c r="I1516" s="1" t="s">
        <v>20</v>
      </c>
      <c r="J1516" s="1" t="s">
        <v>6876</v>
      </c>
      <c r="K1516" s="1" t="s">
        <v>22</v>
      </c>
      <c r="L1516" s="1" t="str">
        <f>HYPERLINK("https://files.afu.se/Downloads/Transcripts/0%20-%20Government/USA%20-%20NASA%20Kennedy/2010 12 20 - NASA's Kennedy Space Center - STS-117 Space Shuttle Atlantis Rolls Out to the Pad_mRh4TmKEZUw - transcript (automated).pdf","Transcript Link")</f>
        <v>Transcript Link</v>
      </c>
      <c r="M1516" s="2" t="str">
        <f>HYPERLINK("https://files.afu.se/Downloads/Transcripts/0%20-%20Government/USA%20-%20NASA%20Kennedy/2010 12 20 - NASA's Kennedy Space Center - STS-117 Space Shuttle Atlantis Rolls Out to the Pad_mRh4TmKEZUw - transcript (automated).pdf","Transcript Link")</f>
        <v>Transcript Link</v>
      </c>
    </row>
    <row r="1517" ht="240" spans="1:13">
      <c r="A1517" s="1" t="s">
        <v>6872</v>
      </c>
      <c r="B1517" s="1" t="s">
        <v>13</v>
      </c>
      <c r="C1517" s="4" t="s">
        <v>6877</v>
      </c>
      <c r="D1517" s="1" t="s">
        <v>6878</v>
      </c>
      <c r="E1517" s="1" t="s">
        <v>6879</v>
      </c>
      <c r="F1517" s="4" t="s">
        <v>17</v>
      </c>
      <c r="G1517" s="1" t="s">
        <v>18</v>
      </c>
      <c r="H1517" s="1" t="s">
        <v>19</v>
      </c>
      <c r="I1517" s="1" t="s">
        <v>20</v>
      </c>
      <c r="J1517" s="1" t="s">
        <v>6880</v>
      </c>
      <c r="K1517" s="1" t="s">
        <v>22</v>
      </c>
      <c r="L1517" s="1" t="str">
        <f>HYPERLINK("https://files.afu.se/Downloads/Transcripts/0%20-%20Government/USA%20-%20NASA%20Kennedy/2010 12 20 - NASA's Kennedy Space Center - STS-117 Space Shuttle Atlantis Lands in California_KP-hjV4anUk - transcript (automated).pdf","Transcript Link")</f>
        <v>Transcript Link</v>
      </c>
      <c r="M1517" s="2" t="str">
        <f>HYPERLINK("https://files.afu.se/Downloads/Transcripts/0%20-%20Government/USA%20-%20NASA%20Kennedy/2010 12 20 - NASA's Kennedy Space Center - STS-117 Space Shuttle Atlantis Lands in California_KP-hjV4anUk - transcript (automated).pdf","Transcript Link")</f>
        <v>Transcript Link</v>
      </c>
    </row>
    <row r="1518" ht="285" spans="1:13">
      <c r="A1518" s="1" t="s">
        <v>6872</v>
      </c>
      <c r="B1518" s="1" t="s">
        <v>13</v>
      </c>
      <c r="C1518" s="4" t="s">
        <v>6881</v>
      </c>
      <c r="D1518" s="1" t="s">
        <v>6882</v>
      </c>
      <c r="E1518" s="1" t="s">
        <v>6883</v>
      </c>
      <c r="F1518" s="4" t="s">
        <v>17</v>
      </c>
      <c r="G1518" s="1" t="s">
        <v>18</v>
      </c>
      <c r="H1518" s="1" t="s">
        <v>19</v>
      </c>
      <c r="I1518" s="1" t="s">
        <v>20</v>
      </c>
      <c r="J1518" s="1" t="s">
        <v>6884</v>
      </c>
      <c r="K1518" s="1" t="s">
        <v>22</v>
      </c>
      <c r="L1518" s="1" t="str">
        <f>HYPERLINK("https://files.afu.se/Downloads/Transcripts/0%20-%20Government/USA%20-%20NASA%20Kennedy/2010 12 20 - NASA's Kennedy Space Center - Atlantis and Crew Get the Job Done_N-2jpHjcNWk - transcript (automated).pdf","Transcript Link")</f>
        <v>Transcript Link</v>
      </c>
      <c r="M1518" s="2" t="str">
        <f>HYPERLINK("https://files.afu.se/Downloads/Transcripts/0%20-%20Government/USA%20-%20NASA%20Kennedy/2010 12 20 - NASA's Kennedy Space Center - Atlantis and Crew Get the Job Done_N-2jpHjcNWk - transcript (automated).pdf","Transcript Link")</f>
        <v>Transcript Link</v>
      </c>
    </row>
    <row r="1519" ht="180" spans="1:13">
      <c r="A1519" s="1" t="s">
        <v>6872</v>
      </c>
      <c r="B1519" s="1" t="s">
        <v>13</v>
      </c>
      <c r="C1519" s="4" t="s">
        <v>6885</v>
      </c>
      <c r="D1519" s="1" t="s">
        <v>6886</v>
      </c>
      <c r="E1519" s="1" t="s">
        <v>6887</v>
      </c>
      <c r="F1519" s="4" t="s">
        <v>17</v>
      </c>
      <c r="G1519" s="1" t="s">
        <v>18</v>
      </c>
      <c r="H1519" s="1" t="s">
        <v>19</v>
      </c>
      <c r="I1519" s="1" t="s">
        <v>20</v>
      </c>
      <c r="J1519" s="1" t="s">
        <v>6888</v>
      </c>
      <c r="K1519" s="1" t="s">
        <v>22</v>
      </c>
      <c r="L1519" s="1" t="str">
        <f>HYPERLINK("https://files.afu.se/Downloads/Transcripts/0%20-%20Government/USA%20-%20NASA%20Kennedy/2010 12 20 - NASA's Kennedy Space Center - Kennedy Space Center 45th Anniversary_sKqp9m5YkIc - transcript (automated).pdf","Transcript Link")</f>
        <v>Transcript Link</v>
      </c>
      <c r="M1519" s="2" t="str">
        <f>HYPERLINK("https://files.afu.se/Downloads/Transcripts/0%20-%20Government/USA%20-%20NASA%20Kennedy/2010 12 20 - NASA's Kennedy Space Center - Kennedy Space Center 45th Anniversary_sKqp9m5YkIc - transcript (automated).pdf","Transcript Link")</f>
        <v>Transcript Link</v>
      </c>
    </row>
    <row r="1520" ht="210" spans="1:13">
      <c r="A1520" s="1" t="s">
        <v>6872</v>
      </c>
      <c r="B1520" s="1" t="s">
        <v>13</v>
      </c>
      <c r="C1520" s="4" t="s">
        <v>6889</v>
      </c>
      <c r="D1520" s="1" t="s">
        <v>6890</v>
      </c>
      <c r="E1520" s="1" t="s">
        <v>6891</v>
      </c>
      <c r="F1520" s="4" t="s">
        <v>17</v>
      </c>
      <c r="G1520" s="1" t="s">
        <v>18</v>
      </c>
      <c r="H1520" s="1" t="s">
        <v>19</v>
      </c>
      <c r="I1520" s="1" t="s">
        <v>20</v>
      </c>
      <c r="J1520" s="1" t="s">
        <v>6892</v>
      </c>
      <c r="K1520" s="1" t="s">
        <v>22</v>
      </c>
      <c r="L1520" s="1" t="str">
        <f>HYPERLINK("https://files.afu.se/Downloads/Transcripts/0%20-%20Government/USA%20-%20NASA%20Kennedy/2010 12 20 - NASA's Kennedy Space Center - Preparing Dawn for Launch_A5NAPVGlmUY - transcript (automated).pdf","Transcript Link")</f>
        <v>Transcript Link</v>
      </c>
      <c r="M1520" s="2" t="str">
        <f>HYPERLINK("https://files.afu.se/Downloads/Transcripts/0%20-%20Government/USA%20-%20NASA%20Kennedy/2010 12 20 - NASA's Kennedy Space Center - Preparing Dawn for Launch_A5NAPVGlmUY - transcript (automated).pdf","Transcript Link")</f>
        <v>Transcript Link</v>
      </c>
    </row>
    <row r="1521" ht="210" spans="1:13">
      <c r="A1521" s="1" t="s">
        <v>6872</v>
      </c>
      <c r="B1521" s="1" t="s">
        <v>13</v>
      </c>
      <c r="C1521" s="4" t="s">
        <v>6893</v>
      </c>
      <c r="D1521" s="1" t="s">
        <v>6894</v>
      </c>
      <c r="E1521" s="1" t="s">
        <v>6870</v>
      </c>
      <c r="F1521" s="4" t="s">
        <v>17</v>
      </c>
      <c r="G1521" s="1" t="s">
        <v>18</v>
      </c>
      <c r="H1521" s="1" t="s">
        <v>19</v>
      </c>
      <c r="I1521" s="1" t="s">
        <v>20</v>
      </c>
      <c r="J1521" s="1" t="s">
        <v>6895</v>
      </c>
      <c r="K1521" s="1" t="s">
        <v>22</v>
      </c>
      <c r="L1521" s="1" t="str">
        <f>HYPERLINK("https://files.afu.se/Downloads/Transcripts/0%20-%20Government/USA%20-%20NASA%20Kennedy/2010 12 20 - NASA's Kennedy Space Center - Chandra X-ray Observatory - Episode 2_W7AsV2M1PoA - transcript (automated).pdf","Transcript Link")</f>
        <v>Transcript Link</v>
      </c>
      <c r="M1521" s="2" t="str">
        <f>HYPERLINK("https://files.afu.se/Downloads/Transcripts/0%20-%20Government/USA%20-%20NASA%20Kennedy/2010 12 20 - NASA's Kennedy Space Center - Chandra X-ray Observatory - Episode 2_W7AsV2M1PoA - transcript (automated).pdf","Transcript Link")</f>
        <v>Transcript Link</v>
      </c>
    </row>
    <row r="1522" ht="255" spans="1:13">
      <c r="A1522" s="1" t="s">
        <v>6872</v>
      </c>
      <c r="B1522" s="1" t="s">
        <v>13</v>
      </c>
      <c r="C1522" s="4" t="s">
        <v>6896</v>
      </c>
      <c r="D1522" s="1" t="s">
        <v>6897</v>
      </c>
      <c r="E1522" s="1" t="s">
        <v>6898</v>
      </c>
      <c r="F1522" s="4" t="s">
        <v>17</v>
      </c>
      <c r="G1522" s="1" t="s">
        <v>18</v>
      </c>
      <c r="H1522" s="1" t="s">
        <v>19</v>
      </c>
      <c r="I1522" s="1" t="s">
        <v>20</v>
      </c>
      <c r="J1522" s="1" t="s">
        <v>6899</v>
      </c>
      <c r="K1522" s="1" t="s">
        <v>22</v>
      </c>
      <c r="L1522" s="1" t="str">
        <f>HYPERLINK("https://files.afu.se/Downloads/Transcripts/0%20-%20Government/USA%20-%20NASA%20Kennedy/2010 12 20 - NASA's Kennedy Space Center - Cross-culture Effort Gives Rise to Hope_sn8vqr3WCYo - transcript (automated).pdf","Transcript Link")</f>
        <v>Transcript Link</v>
      </c>
      <c r="M1522" s="2" t="str">
        <f>HYPERLINK("https://files.afu.se/Downloads/Transcripts/0%20-%20Government/USA%20-%20NASA%20Kennedy/2010 12 20 - NASA's Kennedy Space Center - Cross-culture Effort Gives Rise to Hope_sn8vqr3WCYo - transcript (automated).pdf","Transcript Link")</f>
        <v>Transcript Link</v>
      </c>
    </row>
    <row r="1523" ht="225" spans="1:13">
      <c r="A1523" s="1" t="s">
        <v>6872</v>
      </c>
      <c r="B1523" s="1" t="s">
        <v>13</v>
      </c>
      <c r="C1523" s="4" t="s">
        <v>6900</v>
      </c>
      <c r="D1523" s="1" t="s">
        <v>6901</v>
      </c>
      <c r="E1523" s="1" t="s">
        <v>6902</v>
      </c>
      <c r="F1523" s="4" t="s">
        <v>17</v>
      </c>
      <c r="G1523" s="1" t="s">
        <v>18</v>
      </c>
      <c r="H1523" s="1" t="s">
        <v>19</v>
      </c>
      <c r="I1523" s="1" t="s">
        <v>20</v>
      </c>
      <c r="J1523" s="1" t="s">
        <v>6903</v>
      </c>
      <c r="K1523" s="1" t="s">
        <v>22</v>
      </c>
      <c r="L1523" s="1" t="str">
        <f>HYPERLINK("https://files.afu.se/Downloads/Transcripts/0%20-%20Government/USA%20-%20NASA%20Kennedy/2010 12 20 - NASA's Kennedy Space Center - Mars Phoenix Launch_3zr_3CWLamo - transcript (automated).pdf","Transcript Link")</f>
        <v>Transcript Link</v>
      </c>
      <c r="M1523" s="2" t="str">
        <f>HYPERLINK("https://files.afu.se/Downloads/Transcripts/0%20-%20Government/USA%20-%20NASA%20Kennedy/2010 12 20 - NASA's Kennedy Space Center - Mars Phoenix Launch_3zr_3CWLamo - transcript (automated).pdf","Transcript Link")</f>
        <v>Transcript Link</v>
      </c>
    </row>
    <row r="1524" ht="195" spans="1:13">
      <c r="A1524" s="1" t="s">
        <v>6872</v>
      </c>
      <c r="B1524" s="1" t="s">
        <v>13</v>
      </c>
      <c r="C1524" s="4" t="s">
        <v>6904</v>
      </c>
      <c r="D1524" s="1" t="s">
        <v>6905</v>
      </c>
      <c r="E1524" s="1" t="s">
        <v>6906</v>
      </c>
      <c r="F1524" s="4" t="s">
        <v>17</v>
      </c>
      <c r="G1524" s="1" t="s">
        <v>18</v>
      </c>
      <c r="H1524" s="1" t="s">
        <v>19</v>
      </c>
      <c r="I1524" s="1" t="s">
        <v>20</v>
      </c>
      <c r="J1524" s="1" t="s">
        <v>6907</v>
      </c>
      <c r="K1524" s="1" t="s">
        <v>22</v>
      </c>
      <c r="L1524" s="1" t="str">
        <f>HYPERLINK("https://files.afu.se/Downloads/Transcripts/0%20-%20Government/USA%20-%20NASA%20Kennedy/2010 12 20 - NASA's Kennedy Space Center - Delta II History_Ts7O1yZQwOM - transcript (automated).pdf","Transcript Link")</f>
        <v>Transcript Link</v>
      </c>
      <c r="M1524" s="2" t="str">
        <f>HYPERLINK("https://files.afu.se/Downloads/Transcripts/0%20-%20Government/USA%20-%20NASA%20Kennedy/2010 12 20 - NASA's Kennedy Space Center - Delta II History_Ts7O1yZQwOM - transcript (automated).pdf","Transcript Link")</f>
        <v>Transcript Link</v>
      </c>
    </row>
    <row r="1525" ht="315" spans="1:13">
      <c r="A1525" s="1" t="s">
        <v>6872</v>
      </c>
      <c r="B1525" s="1" t="s">
        <v>13</v>
      </c>
      <c r="C1525" s="4" t="s">
        <v>6908</v>
      </c>
      <c r="D1525" s="1" t="s">
        <v>6909</v>
      </c>
      <c r="E1525" s="1" t="s">
        <v>6910</v>
      </c>
      <c r="F1525" s="4" t="s">
        <v>17</v>
      </c>
      <c r="G1525" s="1" t="s">
        <v>18</v>
      </c>
      <c r="H1525" s="1" t="s">
        <v>19</v>
      </c>
      <c r="I1525" s="1" t="s">
        <v>20</v>
      </c>
      <c r="J1525" s="1" t="s">
        <v>6911</v>
      </c>
      <c r="K1525" s="1" t="s">
        <v>22</v>
      </c>
      <c r="L1525" s="1" t="str">
        <f>HYPERLINK("https://files.afu.se/Downloads/Transcripts/0%20-%20Government/USA%20-%20NASA%20Kennedy/2010 12 20 - NASA's Kennedy Space Center - STS-118 Space Shuttle Launch_oYdkLm9f1QQ - transcript (automated).pdf","Transcript Link")</f>
        <v>Transcript Link</v>
      </c>
      <c r="M1525" s="2" t="str">
        <f>HYPERLINK("https://files.afu.se/Downloads/Transcripts/0%20-%20Government/USA%20-%20NASA%20Kennedy/2010 12 20 - NASA's Kennedy Space Center - STS-118 Space Shuttle Launch_oYdkLm9f1QQ - transcript (automated).pdf","Transcript Link")</f>
        <v>Transcript Link</v>
      </c>
    </row>
    <row r="1526" ht="195" spans="1:13">
      <c r="A1526" s="1" t="s">
        <v>6872</v>
      </c>
      <c r="B1526" s="1" t="s">
        <v>13</v>
      </c>
      <c r="C1526" s="4" t="s">
        <v>6912</v>
      </c>
      <c r="D1526" s="1" t="s">
        <v>6913</v>
      </c>
      <c r="E1526" s="1" t="s">
        <v>6914</v>
      </c>
      <c r="F1526" s="4" t="s">
        <v>17</v>
      </c>
      <c r="G1526" s="1" t="s">
        <v>18</v>
      </c>
      <c r="H1526" s="1" t="s">
        <v>19</v>
      </c>
      <c r="I1526" s="1" t="s">
        <v>20</v>
      </c>
      <c r="J1526" s="1" t="s">
        <v>6915</v>
      </c>
      <c r="K1526" s="1" t="s">
        <v>22</v>
      </c>
      <c r="L1526" s="1" t="str">
        <f>HYPERLINK("https://files.afu.se/Downloads/Transcripts/0%20-%20Government/USA%20-%20NASA%20Kennedy/2010 12 20 - NASA's Kennedy Space Center - STS-118 Space Shuttle Landing_r15QlpFchbQ - transcript (automated).pdf","Transcript Link")</f>
        <v>Transcript Link</v>
      </c>
      <c r="M1526" s="2" t="str">
        <f>HYPERLINK("https://files.afu.se/Downloads/Transcripts/0%20-%20Government/USA%20-%20NASA%20Kennedy/2010 12 20 - NASA's Kennedy Space Center - STS-118 Space Shuttle Landing_r15QlpFchbQ - transcript (automated).pdf","Transcript Link")</f>
        <v>Transcript Link</v>
      </c>
    </row>
    <row r="1527" ht="195" spans="1:13">
      <c r="A1527" s="1" t="s">
        <v>6872</v>
      </c>
      <c r="B1527" s="1" t="s">
        <v>13</v>
      </c>
      <c r="C1527" s="4" t="s">
        <v>6916</v>
      </c>
      <c r="D1527" s="1" t="s">
        <v>6917</v>
      </c>
      <c r="E1527" s="1" t="s">
        <v>6918</v>
      </c>
      <c r="F1527" s="4" t="s">
        <v>17</v>
      </c>
      <c r="G1527" s="1" t="s">
        <v>18</v>
      </c>
      <c r="H1527" s="1" t="s">
        <v>19</v>
      </c>
      <c r="I1527" s="1" t="s">
        <v>20</v>
      </c>
      <c r="J1527" s="1" t="s">
        <v>6919</v>
      </c>
      <c r="K1527" s="1" t="s">
        <v>22</v>
      </c>
      <c r="L1527" s="1" t="str">
        <f>HYPERLINK("https://files.afu.se/Downloads/Transcripts/0%20-%20Government/USA%20-%20NASA%20Kennedy/2010 12 20 - NASA's Kennedy Space Center - STS-118 Mission Accomplished_LuT0UHOvE50 - transcript (automated).pdf","Transcript Link")</f>
        <v>Transcript Link</v>
      </c>
      <c r="M1527" s="2" t="str">
        <f>HYPERLINK("https://files.afu.se/Downloads/Transcripts/0%20-%20Government/USA%20-%20NASA%20Kennedy/2010 12 20 - NASA's Kennedy Space Center - STS-118 Mission Accomplished_LuT0UHOvE50 - transcript (automated).pdf","Transcript Link")</f>
        <v>Transcript Link</v>
      </c>
    </row>
    <row r="1528" ht="180" spans="1:13">
      <c r="A1528" s="1" t="s">
        <v>6872</v>
      </c>
      <c r="B1528" s="1" t="s">
        <v>13</v>
      </c>
      <c r="C1528" s="4" t="s">
        <v>6920</v>
      </c>
      <c r="D1528" s="1" t="s">
        <v>6921</v>
      </c>
      <c r="E1528" s="1" t="s">
        <v>6922</v>
      </c>
      <c r="F1528" s="4" t="s">
        <v>17</v>
      </c>
      <c r="G1528" s="1" t="s">
        <v>18</v>
      </c>
      <c r="H1528" s="1" t="s">
        <v>19</v>
      </c>
      <c r="I1528" s="1" t="s">
        <v>20</v>
      </c>
      <c r="J1528" s="1" t="s">
        <v>6923</v>
      </c>
      <c r="K1528" s="1" t="s">
        <v>22</v>
      </c>
      <c r="L1528" s="1" t="str">
        <f>HYPERLINK("https://files.afu.se/Downloads/Transcripts/0%20-%20Government/USA%20-%20NASA%20Kennedy/2010 12 20 - NASA's Kennedy Space Center - NASA Astronaut Joan Higginbotham_UnqGRsF0bWo - transcript (automated).pdf","Transcript Link")</f>
        <v>Transcript Link</v>
      </c>
      <c r="M1528" s="2" t="str">
        <f>HYPERLINK("https://files.afu.se/Downloads/Transcripts/0%20-%20Government/USA%20-%20NASA%20Kennedy/2010 12 20 - NASA's Kennedy Space Center - NASA Astronaut Joan Higginbotham_UnqGRsF0bWo - transcript (automated).pdf","Transcript Link")</f>
        <v>Transcript Link</v>
      </c>
    </row>
    <row r="1529" ht="195" spans="1:13">
      <c r="A1529" s="1" t="s">
        <v>6872</v>
      </c>
      <c r="B1529" s="1" t="s">
        <v>13</v>
      </c>
      <c r="C1529" s="4" t="s">
        <v>6924</v>
      </c>
      <c r="D1529" s="1" t="s">
        <v>6925</v>
      </c>
      <c r="E1529" s="1" t="s">
        <v>6926</v>
      </c>
      <c r="F1529" s="4" t="s">
        <v>17</v>
      </c>
      <c r="G1529" s="1" t="s">
        <v>18</v>
      </c>
      <c r="H1529" s="1" t="s">
        <v>19</v>
      </c>
      <c r="I1529" s="1" t="s">
        <v>20</v>
      </c>
      <c r="J1529" s="1" t="s">
        <v>6927</v>
      </c>
      <c r="K1529" s="1" t="s">
        <v>22</v>
      </c>
      <c r="L1529" s="1" t="str">
        <f>HYPERLINK("https://files.afu.se/Downloads/Transcripts/0%20-%20Government/USA%20-%20NASA%20Kennedy/2010 12 20 - NASA's Kennedy Space Center - Chandra X-ray Observatory - Episode 3_nNo45yJyqxw - transcript (automated).pdf","Transcript Link")</f>
        <v>Transcript Link</v>
      </c>
      <c r="M1529" s="2" t="str">
        <f>HYPERLINK("https://files.afu.se/Downloads/Transcripts/0%20-%20Government/USA%20-%20NASA%20Kennedy/2010 12 20 - NASA's Kennedy Space Center - Chandra X-ray Observatory - Episode 3_nNo45yJyqxw - transcript (automated).pdf","Transcript Link")</f>
        <v>Transcript Link</v>
      </c>
    </row>
    <row r="1530" ht="180" spans="1:13">
      <c r="A1530" s="1" t="s">
        <v>6872</v>
      </c>
      <c r="B1530" s="1" t="s">
        <v>13</v>
      </c>
      <c r="C1530" s="4" t="s">
        <v>6928</v>
      </c>
      <c r="D1530" s="1" t="s">
        <v>6929</v>
      </c>
      <c r="E1530" s="1" t="s">
        <v>6930</v>
      </c>
      <c r="F1530" s="4" t="s">
        <v>17</v>
      </c>
      <c r="G1530" s="1" t="s">
        <v>18</v>
      </c>
      <c r="H1530" s="1" t="s">
        <v>19</v>
      </c>
      <c r="I1530" s="1" t="s">
        <v>20</v>
      </c>
      <c r="J1530" s="1" t="s">
        <v>6931</v>
      </c>
      <c r="K1530" s="1" t="s">
        <v>22</v>
      </c>
      <c r="L1530" s="1" t="str">
        <f>HYPERLINK("https://files.afu.se/Downloads/Transcripts/0%20-%20Government/USA%20-%20NASA%20Kennedy/2010 12 20 - NASA's Kennedy Space Center - Dawn Launch_St0vwbj9moY - transcript (automated).pdf","Transcript Link")</f>
        <v>Transcript Link</v>
      </c>
      <c r="M1530" s="2" t="str">
        <f>HYPERLINK("https://files.afu.se/Downloads/Transcripts/0%20-%20Government/USA%20-%20NASA%20Kennedy/2010 12 20 - NASA's Kennedy Space Center - Dawn Launch_St0vwbj9moY - transcript (automated).pdf","Transcript Link")</f>
        <v>Transcript Link</v>
      </c>
    </row>
    <row r="1531" ht="180" spans="1:13">
      <c r="A1531" s="1" t="s">
        <v>6872</v>
      </c>
      <c r="B1531" s="1" t="s">
        <v>13</v>
      </c>
      <c r="C1531" s="4" t="s">
        <v>6932</v>
      </c>
      <c r="D1531" s="1" t="s">
        <v>6933</v>
      </c>
      <c r="E1531" s="1" t="s">
        <v>6934</v>
      </c>
      <c r="F1531" s="4" t="s">
        <v>17</v>
      </c>
      <c r="G1531" s="1" t="s">
        <v>18</v>
      </c>
      <c r="H1531" s="1" t="s">
        <v>19</v>
      </c>
      <c r="I1531" s="1" t="s">
        <v>20</v>
      </c>
      <c r="J1531" s="1" t="s">
        <v>6935</v>
      </c>
      <c r="K1531" s="1" t="s">
        <v>22</v>
      </c>
      <c r="L1531" s="1" t="str">
        <f>HYPERLINK("https://files.afu.se/Downloads/Transcripts/0%20-%20Government/USA%20-%20NASA%20Kennedy/2010 12 20 - NASA's Kennedy Space Center - NASA Astronaut Sunita Williams_rUks2BROvWg - transcript (automated).pdf","Transcript Link")</f>
        <v>Transcript Link</v>
      </c>
      <c r="M1531" s="2" t="str">
        <f>HYPERLINK("https://files.afu.se/Downloads/Transcripts/0%20-%20Government/USA%20-%20NASA%20Kennedy/2010 12 20 - NASA's Kennedy Space Center - NASA Astronaut Sunita Williams_rUks2BROvWg - transcript (automated).pdf","Transcript Link")</f>
        <v>Transcript Link</v>
      </c>
    </row>
    <row r="1532" ht="270" spans="1:13">
      <c r="A1532" s="1" t="s">
        <v>6872</v>
      </c>
      <c r="B1532" s="1" t="s">
        <v>13</v>
      </c>
      <c r="C1532" s="4" t="s">
        <v>6936</v>
      </c>
      <c r="D1532" s="1" t="s">
        <v>6937</v>
      </c>
      <c r="E1532" s="1" t="s">
        <v>6938</v>
      </c>
      <c r="F1532" s="4" t="s">
        <v>17</v>
      </c>
      <c r="G1532" s="1" t="s">
        <v>18</v>
      </c>
      <c r="H1532" s="1" t="s">
        <v>19</v>
      </c>
      <c r="I1532" s="1" t="s">
        <v>20</v>
      </c>
      <c r="J1532" s="1" t="s">
        <v>6939</v>
      </c>
      <c r="K1532" s="1" t="s">
        <v>22</v>
      </c>
      <c r="L1532" s="1" t="str">
        <f>HYPERLINK("https://files.afu.se/Downloads/Transcripts/0%20-%20Government/USA%20-%20NASA%20Kennedy/2010 12 20 - NASA's Kennedy Space Center - STS-120 Space Shuttle Discovery Rollout_k1eP5RBv8XI - transcript (automated).pdf","Transcript Link")</f>
        <v>Transcript Link</v>
      </c>
      <c r="M1532" s="2" t="str">
        <f>HYPERLINK("https://files.afu.se/Downloads/Transcripts/0%20-%20Government/USA%20-%20NASA%20Kennedy/2010 12 20 - NASA's Kennedy Space Center - STS-120 Space Shuttle Discovery Rollout_k1eP5RBv8XI - transcript (automated).pdf","Transcript Link")</f>
        <v>Transcript Link</v>
      </c>
    </row>
    <row r="1533" ht="195" spans="1:13">
      <c r="A1533" s="1" t="s">
        <v>6872</v>
      </c>
      <c r="B1533" s="1" t="s">
        <v>13</v>
      </c>
      <c r="C1533" s="4" t="s">
        <v>6940</v>
      </c>
      <c r="D1533" s="1" t="s">
        <v>6941</v>
      </c>
      <c r="E1533" s="1" t="s">
        <v>6942</v>
      </c>
      <c r="F1533" s="4" t="s">
        <v>17</v>
      </c>
      <c r="G1533" s="1" t="s">
        <v>18</v>
      </c>
      <c r="H1533" s="1" t="s">
        <v>19</v>
      </c>
      <c r="I1533" s="1" t="s">
        <v>20</v>
      </c>
      <c r="J1533" s="1" t="s">
        <v>6943</v>
      </c>
      <c r="K1533" s="1" t="s">
        <v>22</v>
      </c>
      <c r="L1533" s="1" t="str">
        <f>HYPERLINK("https://files.afu.se/Downloads/Transcripts/0%20-%20Government/USA%20-%20NASA%20Kennedy/2010 12 20 - NASA's Kennedy Space Center - Mission STS-120 Preflight Training_0jkErVV06wk - transcript (automated).pdf","Transcript Link")</f>
        <v>Transcript Link</v>
      </c>
      <c r="M1533" s="2" t="str">
        <f>HYPERLINK("https://files.afu.se/Downloads/Transcripts/0%20-%20Government/USA%20-%20NASA%20Kennedy/2010 12 20 - NASA's Kennedy Space Center - Mission STS-120 Preflight Training_0jkErVV06wk - transcript (automated).pdf","Transcript Link")</f>
        <v>Transcript Link</v>
      </c>
    </row>
    <row r="1534" ht="180" spans="1:13">
      <c r="A1534" s="1" t="s">
        <v>6944</v>
      </c>
      <c r="B1534" s="1" t="s">
        <v>13</v>
      </c>
      <c r="C1534" s="4" t="s">
        <v>6945</v>
      </c>
      <c r="D1534" s="1" t="s">
        <v>6946</v>
      </c>
      <c r="E1534" s="1" t="s">
        <v>6947</v>
      </c>
      <c r="F1534" s="4" t="s">
        <v>17</v>
      </c>
      <c r="G1534" s="1" t="s">
        <v>18</v>
      </c>
      <c r="H1534" s="1" t="s">
        <v>19</v>
      </c>
      <c r="I1534" s="1" t="s">
        <v>20</v>
      </c>
      <c r="J1534" s="1" t="s">
        <v>6948</v>
      </c>
      <c r="K1534" s="1" t="s">
        <v>22</v>
      </c>
      <c r="L1534" s="1" t="str">
        <f>HYPERLINK("https://files.afu.se/Downloads/Transcripts/0%20-%20Government/USA%20-%20NASA%20Kennedy/2010 12 17 - NASA's Kennedy Space Center - STS-120 Astronaut Webcast_qJ229mP4eIo - transcript (automated).pdf","Transcript Link")</f>
        <v>Transcript Link</v>
      </c>
      <c r="M1534" s="2" t="str">
        <f>HYPERLINK("https://files.afu.se/Downloads/Transcripts/0%20-%20Government/USA%20-%20NASA%20Kennedy/2010 12 17 - NASA's Kennedy Space Center - STS-120 Astronaut Webcast_qJ229mP4eIo - transcript (automated).pdf","Transcript Link")</f>
        <v>Transcript Link</v>
      </c>
    </row>
    <row r="1535" ht="240" spans="1:13">
      <c r="A1535" s="1" t="s">
        <v>6944</v>
      </c>
      <c r="B1535" s="1" t="s">
        <v>13</v>
      </c>
      <c r="C1535" s="4" t="s">
        <v>6949</v>
      </c>
      <c r="D1535" s="1" t="s">
        <v>6950</v>
      </c>
      <c r="E1535" s="1" t="s">
        <v>6951</v>
      </c>
      <c r="F1535" s="4" t="s">
        <v>17</v>
      </c>
      <c r="G1535" s="1" t="s">
        <v>18</v>
      </c>
      <c r="H1535" s="1" t="s">
        <v>19</v>
      </c>
      <c r="I1535" s="1" t="s">
        <v>20</v>
      </c>
      <c r="J1535" s="1" t="s">
        <v>6952</v>
      </c>
      <c r="K1535" s="1" t="s">
        <v>22</v>
      </c>
      <c r="L1535" s="1" t="str">
        <f>HYPERLINK("https://files.afu.se/Downloads/Transcripts/0%20-%20Government/USA%20-%20NASA%20Kennedy/2010 12 17 - NASA's Kennedy Space Center - STS-120 Space Shuttle Discovery SRB Camera Views_RQGi2talj6E - transcript (automated).pdf","Transcript Link")</f>
        <v>Transcript Link</v>
      </c>
      <c r="M1535" s="2" t="str">
        <f>HYPERLINK("https://files.afu.se/Downloads/Transcripts/0%20-%20Government/USA%20-%20NASA%20Kennedy/2010 12 17 - NASA's Kennedy Space Center - STS-120 Space Shuttle Discovery SRB Camera Views_RQGi2talj6E - transcript (automated).pdf","Transcript Link")</f>
        <v>Transcript Link</v>
      </c>
    </row>
    <row r="1536" ht="210" spans="1:13">
      <c r="A1536" s="1" t="s">
        <v>6944</v>
      </c>
      <c r="B1536" s="1" t="s">
        <v>13</v>
      </c>
      <c r="C1536" s="4" t="s">
        <v>6953</v>
      </c>
      <c r="D1536" s="1" t="s">
        <v>6954</v>
      </c>
      <c r="E1536" s="1" t="s">
        <v>6955</v>
      </c>
      <c r="F1536" s="4" t="s">
        <v>17</v>
      </c>
      <c r="G1536" s="1" t="s">
        <v>18</v>
      </c>
      <c r="H1536" s="1" t="s">
        <v>19</v>
      </c>
      <c r="I1536" s="1" t="s">
        <v>20</v>
      </c>
      <c r="J1536" s="1" t="s">
        <v>6956</v>
      </c>
      <c r="K1536" s="1" t="s">
        <v>22</v>
      </c>
      <c r="L1536" s="1" t="str">
        <f>HYPERLINK("https://files.afu.se/Downloads/Transcripts/0%20-%20Government/USA%20-%20NASA%20Kennedy/2010 12 17 - NASA's Kennedy Space Center - STS-122 Astronaut Webcast_ysVeRSUHflM - transcript (automated).pdf","Transcript Link")</f>
        <v>Transcript Link</v>
      </c>
      <c r="M1536" s="2" t="str">
        <f>HYPERLINK("https://files.afu.se/Downloads/Transcripts/0%20-%20Government/USA%20-%20NASA%20Kennedy/2010 12 17 - NASA's Kennedy Space Center - STS-122 Astronaut Webcast_ysVeRSUHflM - transcript (automated).pdf","Transcript Link")</f>
        <v>Transcript Link</v>
      </c>
    </row>
    <row r="1537" ht="195" spans="1:13">
      <c r="A1537" s="1" t="s">
        <v>6944</v>
      </c>
      <c r="B1537" s="1" t="s">
        <v>13</v>
      </c>
      <c r="C1537" s="4" t="s">
        <v>6957</v>
      </c>
      <c r="D1537" s="1" t="s">
        <v>6958</v>
      </c>
      <c r="E1537" s="1" t="s">
        <v>6959</v>
      </c>
      <c r="F1537" s="4" t="s">
        <v>17</v>
      </c>
      <c r="G1537" s="1" t="s">
        <v>18</v>
      </c>
      <c r="H1537" s="1" t="s">
        <v>19</v>
      </c>
      <c r="I1537" s="1" t="s">
        <v>20</v>
      </c>
      <c r="J1537" s="1" t="s">
        <v>6960</v>
      </c>
      <c r="K1537" s="1" t="s">
        <v>22</v>
      </c>
      <c r="L1537" s="1" t="str">
        <f>HYPERLINK("https://files.afu.se/Downloads/Transcripts/0%20-%20Government/USA%20-%20NASA%20Kennedy/2010 12 17 - NASA's Kennedy Space Center - STS-120 Space Shuttle Launch_cgreS7wi2fg - transcript (automated).pdf","Transcript Link")</f>
        <v>Transcript Link</v>
      </c>
      <c r="M1537" s="2" t="str">
        <f>HYPERLINK("https://files.afu.se/Downloads/Transcripts/0%20-%20Government/USA%20-%20NASA%20Kennedy/2010 12 17 - NASA's Kennedy Space Center - STS-120 Space Shuttle Launch_cgreS7wi2fg - transcript (automated).pdf","Transcript Link")</f>
        <v>Transcript Link</v>
      </c>
    </row>
    <row r="1538" ht="225" spans="1:13">
      <c r="A1538" s="1" t="s">
        <v>6944</v>
      </c>
      <c r="B1538" s="1" t="s">
        <v>13</v>
      </c>
      <c r="C1538" s="4" t="s">
        <v>6961</v>
      </c>
      <c r="D1538" s="1" t="s">
        <v>6962</v>
      </c>
      <c r="E1538" s="1" t="s">
        <v>6963</v>
      </c>
      <c r="F1538" s="4" t="s">
        <v>17</v>
      </c>
      <c r="G1538" s="1" t="s">
        <v>18</v>
      </c>
      <c r="H1538" s="1" t="s">
        <v>19</v>
      </c>
      <c r="I1538" s="1" t="s">
        <v>20</v>
      </c>
      <c r="J1538" s="1" t="s">
        <v>6964</v>
      </c>
      <c r="K1538" s="1" t="s">
        <v>22</v>
      </c>
      <c r="L1538" s="1" t="str">
        <f>HYPERLINK("https://files.afu.se/Downloads/Transcripts/0%20-%20Government/USA%20-%20NASA%20Kennedy/2010 12 17 - NASA's Kennedy Space Center - STS-120 Space Shuttle Landing_qUBzpzboYLI - transcript (automated).pdf","Transcript Link")</f>
        <v>Transcript Link</v>
      </c>
      <c r="M1538" s="2" t="str">
        <f>HYPERLINK("https://files.afu.se/Downloads/Transcripts/0%20-%20Government/USA%20-%20NASA%20Kennedy/2010 12 17 - NASA's Kennedy Space Center - STS-120 Space Shuttle Landing_qUBzpzboYLI - transcript (automated).pdf","Transcript Link")</f>
        <v>Transcript Link</v>
      </c>
    </row>
    <row r="1539" ht="195" spans="1:13">
      <c r="A1539" s="1" t="s">
        <v>6944</v>
      </c>
      <c r="B1539" s="1" t="s">
        <v>13</v>
      </c>
      <c r="C1539" s="4" t="s">
        <v>6965</v>
      </c>
      <c r="D1539" s="1" t="s">
        <v>6966</v>
      </c>
      <c r="E1539" s="1" t="s">
        <v>6967</v>
      </c>
      <c r="F1539" s="4" t="s">
        <v>17</v>
      </c>
      <c r="G1539" s="1" t="s">
        <v>18</v>
      </c>
      <c r="H1539" s="1" t="s">
        <v>19</v>
      </c>
      <c r="I1539" s="1" t="s">
        <v>20</v>
      </c>
      <c r="J1539" s="1" t="s">
        <v>6968</v>
      </c>
      <c r="K1539" s="1" t="s">
        <v>22</v>
      </c>
      <c r="L1539" s="1" t="str">
        <f>HYPERLINK("https://files.afu.se/Downloads/Transcripts/0%20-%20Government/USA%20-%20NASA%20Kennedy/2010 12 17 - NASA's Kennedy Space Center - STS-122 Space Shuttle Atlantis Rollout_THOgjdP9I7Y - transcript (automated).pdf","Transcript Link")</f>
        <v>Transcript Link</v>
      </c>
      <c r="M1539" s="2" t="str">
        <f>HYPERLINK("https://files.afu.se/Downloads/Transcripts/0%20-%20Government/USA%20-%20NASA%20Kennedy/2010 12 17 - NASA's Kennedy Space Center - STS-122 Space Shuttle Atlantis Rollout_THOgjdP9I7Y - transcript (automated).pdf","Transcript Link")</f>
        <v>Transcript Link</v>
      </c>
    </row>
    <row r="1540" ht="225" spans="1:13">
      <c r="A1540" s="1" t="s">
        <v>6944</v>
      </c>
      <c r="B1540" s="1" t="s">
        <v>13</v>
      </c>
      <c r="C1540" s="4" t="s">
        <v>6969</v>
      </c>
      <c r="D1540" s="1" t="s">
        <v>6970</v>
      </c>
      <c r="E1540" s="1" t="s">
        <v>6971</v>
      </c>
      <c r="F1540" s="4" t="s">
        <v>17</v>
      </c>
      <c r="G1540" s="1" t="s">
        <v>18</v>
      </c>
      <c r="H1540" s="1" t="s">
        <v>19</v>
      </c>
      <c r="I1540" s="1" t="s">
        <v>20</v>
      </c>
      <c r="J1540" s="1" t="s">
        <v>6972</v>
      </c>
      <c r="K1540" s="1" t="s">
        <v>22</v>
      </c>
      <c r="L1540" s="1" t="str">
        <f>HYPERLINK("https://files.afu.se/Downloads/Transcripts/0%20-%20Government/USA%20-%20NASA%20Kennedy/2010 12 17 - NASA's Kennedy Space Center - STS-122 TCDT_gP-kirqjAwE - transcript (automated).pdf","Transcript Link")</f>
        <v>Transcript Link</v>
      </c>
      <c r="M1540" s="2" t="str">
        <f>HYPERLINK("https://files.afu.se/Downloads/Transcripts/0%20-%20Government/USA%20-%20NASA%20Kennedy/2010 12 17 - NASA's Kennedy Space Center - STS-122 TCDT_gP-kirqjAwE - transcript (automated).pdf","Transcript Link")</f>
        <v>Transcript Link</v>
      </c>
    </row>
    <row r="1541" ht="195" spans="1:13">
      <c r="A1541" s="1" t="s">
        <v>6944</v>
      </c>
      <c r="B1541" s="1" t="s">
        <v>13</v>
      </c>
      <c r="C1541" s="4" t="s">
        <v>6973</v>
      </c>
      <c r="D1541" s="1" t="s">
        <v>6974</v>
      </c>
      <c r="E1541" s="1" t="s">
        <v>6975</v>
      </c>
      <c r="F1541" s="4" t="s">
        <v>17</v>
      </c>
      <c r="G1541" s="1" t="s">
        <v>18</v>
      </c>
      <c r="H1541" s="1" t="s">
        <v>19</v>
      </c>
      <c r="I1541" s="1" t="s">
        <v>20</v>
      </c>
      <c r="J1541" s="1" t="s">
        <v>6976</v>
      </c>
      <c r="K1541" s="1" t="s">
        <v>22</v>
      </c>
      <c r="L1541" s="1" t="str">
        <f>HYPERLINK("https://files.afu.se/Downloads/Transcripts/0%20-%20Government/USA%20-%20NASA%20Kennedy/2010 12 17 - NASA's Kennedy Space Center - Chandra X-ray Observatory_7PgtHWHRrXE - transcript (automated).pdf","Transcript Link")</f>
        <v>Transcript Link</v>
      </c>
      <c r="M1541" s="2" t="str">
        <f>HYPERLINK("https://files.afu.se/Downloads/Transcripts/0%20-%20Government/USA%20-%20NASA%20Kennedy/2010 12 17 - NASA's Kennedy Space Center - Chandra X-ray Observatory_7PgtHWHRrXE - transcript (automated).pdf","Transcript Link")</f>
        <v>Transcript Link</v>
      </c>
    </row>
    <row r="1542" ht="180" spans="1:13">
      <c r="A1542" s="1" t="s">
        <v>6944</v>
      </c>
      <c r="B1542" s="1" t="s">
        <v>13</v>
      </c>
      <c r="C1542" s="4" t="s">
        <v>6977</v>
      </c>
      <c r="D1542" s="1" t="s">
        <v>6978</v>
      </c>
      <c r="E1542" s="1" t="s">
        <v>6979</v>
      </c>
      <c r="F1542" s="4" t="s">
        <v>17</v>
      </c>
      <c r="G1542" s="1" t="s">
        <v>18</v>
      </c>
      <c r="H1542" s="1" t="s">
        <v>19</v>
      </c>
      <c r="I1542" s="1" t="s">
        <v>20</v>
      </c>
      <c r="J1542" s="1" t="s">
        <v>6980</v>
      </c>
      <c r="K1542" s="1" t="s">
        <v>22</v>
      </c>
      <c r="L1542" s="1" t="str">
        <f>HYPERLINK("https://files.afu.se/Downloads/Transcripts/0%20-%20Government/USA%20-%20NASA%20Kennedy/2010 12 17 - NASA's Kennedy Space Center - Why do we send anything into space _-uDljmYqy1U - transcript (automated).pdf","Transcript Link")</f>
        <v>Transcript Link</v>
      </c>
      <c r="M1542" s="2" t="str">
        <f>HYPERLINK("https://files.afu.se/Downloads/Transcripts/0%20-%20Government/USA%20-%20NASA%20Kennedy/2010 12 17 - NASA's Kennedy Space Center - Why do we send anything into space _-uDljmYqy1U - transcript (automated).pdf","Transcript Link")</f>
        <v>Transcript Link</v>
      </c>
    </row>
    <row r="1543" ht="210" spans="1:13">
      <c r="A1543" s="1" t="s">
        <v>6944</v>
      </c>
      <c r="B1543" s="1" t="s">
        <v>13</v>
      </c>
      <c r="C1543" s="4" t="s">
        <v>6981</v>
      </c>
      <c r="D1543" s="1" t="s">
        <v>6982</v>
      </c>
      <c r="E1543" s="1" t="s">
        <v>6983</v>
      </c>
      <c r="F1543" s="4" t="s">
        <v>17</v>
      </c>
      <c r="G1543" s="1" t="s">
        <v>18</v>
      </c>
      <c r="H1543" s="1" t="s">
        <v>19</v>
      </c>
      <c r="I1543" s="1" t="s">
        <v>20</v>
      </c>
      <c r="J1543" s="1" t="s">
        <v>6984</v>
      </c>
      <c r="K1543" s="1" t="s">
        <v>22</v>
      </c>
      <c r="L1543" s="1" t="str">
        <f>HYPERLINK("https://files.afu.se/Downloads/Transcripts/0%20-%20Government/USA%20-%20NASA%20Kennedy/2010 12 17 - NASA's Kennedy Space Center - Kennedy Space Center Home of the Space Shuttle_wNMsKKN4m9k - transcript (automated).pdf","Transcript Link")</f>
        <v>Transcript Link</v>
      </c>
      <c r="M1543" s="2" t="str">
        <f>HYPERLINK("https://files.afu.se/Downloads/Transcripts/0%20-%20Government/USA%20-%20NASA%20Kennedy/2010 12 17 - NASA's Kennedy Space Center - Kennedy Space Center Home of the Space Shuttle_wNMsKKN4m9k - transcript (automated).pdf","Transcript Link")</f>
        <v>Transcript Link</v>
      </c>
    </row>
    <row r="1544" ht="255" spans="1:13">
      <c r="A1544" s="1" t="s">
        <v>6944</v>
      </c>
      <c r="B1544" s="1" t="s">
        <v>13</v>
      </c>
      <c r="C1544" s="4" t="s">
        <v>6985</v>
      </c>
      <c r="D1544" s="1" t="s">
        <v>6986</v>
      </c>
      <c r="E1544" s="1" t="s">
        <v>6987</v>
      </c>
      <c r="F1544" s="4" t="s">
        <v>17</v>
      </c>
      <c r="G1544" s="1" t="s">
        <v>18</v>
      </c>
      <c r="H1544" s="1" t="s">
        <v>19</v>
      </c>
      <c r="I1544" s="1" t="s">
        <v>20</v>
      </c>
      <c r="J1544" s="1" t="s">
        <v>6988</v>
      </c>
      <c r="K1544" s="1" t="s">
        <v>22</v>
      </c>
      <c r="L1544" s="1" t="str">
        <f>HYPERLINK("https://files.afu.se/Downloads/Transcripts/0%20-%20Government/USA%20-%20NASA%20Kennedy/2010 12 17 - NASA's Kennedy Space Center - Phoenix Webcast_JA9eH2Pryis - transcript (automated).pdf","Transcript Link")</f>
        <v>Transcript Link</v>
      </c>
      <c r="M1544" s="2" t="str">
        <f>HYPERLINK("https://files.afu.se/Downloads/Transcripts/0%20-%20Government/USA%20-%20NASA%20Kennedy/2010 12 17 - NASA's Kennedy Space Center - Phoenix Webcast_JA9eH2Pryis - transcript (automated).pdf","Transcript Link")</f>
        <v>Transcript Link</v>
      </c>
    </row>
    <row r="1545" ht="180" spans="1:13">
      <c r="A1545" s="1" t="s">
        <v>6944</v>
      </c>
      <c r="B1545" s="1" t="s">
        <v>13</v>
      </c>
      <c r="C1545" s="4" t="s">
        <v>6989</v>
      </c>
      <c r="D1545" s="1" t="s">
        <v>6990</v>
      </c>
      <c r="E1545" s="1" t="s">
        <v>6991</v>
      </c>
      <c r="F1545" s="4" t="s">
        <v>17</v>
      </c>
      <c r="G1545" s="1" t="s">
        <v>18</v>
      </c>
      <c r="H1545" s="1" t="s">
        <v>19</v>
      </c>
      <c r="I1545" s="1" t="s">
        <v>20</v>
      </c>
      <c r="J1545" s="1" t="s">
        <v>6992</v>
      </c>
      <c r="K1545" s="1" t="s">
        <v>22</v>
      </c>
      <c r="L1545" s="1" t="str">
        <f>HYPERLINK("https://files.afu.se/Downloads/Transcripts/0%20-%20Government/USA%20-%20NASA%20Kennedy/2010 12 17 - NASA's Kennedy Space Center - NASA Astronaut Stephen Frick_Z8ILNPh3Rbo - transcript (automated).pdf","Transcript Link")</f>
        <v>Transcript Link</v>
      </c>
      <c r="M1545" s="2" t="str">
        <f>HYPERLINK("https://files.afu.se/Downloads/Transcripts/0%20-%20Government/USA%20-%20NASA%20Kennedy/2010 12 17 - NASA's Kennedy Space Center - NASA Astronaut Stephen Frick_Z8ILNPh3Rbo - transcript (automated).pdf","Transcript Link")</f>
        <v>Transcript Link</v>
      </c>
    </row>
    <row r="1546" ht="180" spans="1:13">
      <c r="A1546" s="1" t="s">
        <v>6993</v>
      </c>
      <c r="B1546" s="1" t="s">
        <v>13</v>
      </c>
      <c r="C1546" s="4" t="s">
        <v>6994</v>
      </c>
      <c r="D1546" s="1" t="s">
        <v>6995</v>
      </c>
      <c r="E1546" s="1" t="s">
        <v>6996</v>
      </c>
      <c r="F1546" s="4" t="s">
        <v>17</v>
      </c>
      <c r="G1546" s="1" t="s">
        <v>18</v>
      </c>
      <c r="H1546" s="1" t="s">
        <v>19</v>
      </c>
      <c r="I1546" s="1" t="s">
        <v>20</v>
      </c>
      <c r="J1546" s="1" t="s">
        <v>6997</v>
      </c>
      <c r="K1546" s="1" t="s">
        <v>22</v>
      </c>
      <c r="L1546" s="1" t="str">
        <f>HYPERLINK("https://files.afu.se/Downloads/Transcripts/0%20-%20Government/USA%20-%20NASA%20Kennedy/2010 12 16 - NASA's Kennedy Space Center - STS-122 Mission Update__-KS-mJX858 - transcript (automated).pdf","Transcript Link")</f>
        <v>Transcript Link</v>
      </c>
      <c r="M1546" s="2" t="str">
        <f>HYPERLINK("https://files.afu.se/Downloads/Transcripts/0%20-%20Government/USA%20-%20NASA%20Kennedy/2010 12 16 - NASA's Kennedy Space Center - STS-122 Mission Update__-KS-mJX858 - transcript (automated).pdf","Transcript Link")</f>
        <v>Transcript Link</v>
      </c>
    </row>
    <row r="1547" ht="210" spans="1:13">
      <c r="A1547" s="1" t="s">
        <v>6993</v>
      </c>
      <c r="B1547" s="1" t="s">
        <v>13</v>
      </c>
      <c r="C1547" s="4" t="s">
        <v>6998</v>
      </c>
      <c r="D1547" s="1" t="s">
        <v>6999</v>
      </c>
      <c r="E1547" s="1" t="s">
        <v>7000</v>
      </c>
      <c r="F1547" s="4" t="s">
        <v>17</v>
      </c>
      <c r="G1547" s="1" t="s">
        <v>18</v>
      </c>
      <c r="H1547" s="1" t="s">
        <v>19</v>
      </c>
      <c r="I1547" s="1" t="s">
        <v>20</v>
      </c>
      <c r="J1547" s="1" t="s">
        <v>7001</v>
      </c>
      <c r="K1547" s="1" t="s">
        <v>22</v>
      </c>
      <c r="L1547" s="1" t="str">
        <f>HYPERLINK("https://files.afu.se/Downloads/Transcripts/0%20-%20Government/USA%20-%20NASA%20Kennedy/2010 12 16 - NASA's Kennedy Space Center - STS-122 Space Shuttle Landing_9zf9pK5-3ew - transcript (automated).pdf","Transcript Link")</f>
        <v>Transcript Link</v>
      </c>
      <c r="M1547" s="2" t="str">
        <f>HYPERLINK("https://files.afu.se/Downloads/Transcripts/0%20-%20Government/USA%20-%20NASA%20Kennedy/2010 12 16 - NASA's Kennedy Space Center - STS-122 Space Shuttle Landing_9zf9pK5-3ew - transcript (automated).pdf","Transcript Link")</f>
        <v>Transcript Link</v>
      </c>
    </row>
    <row r="1548" ht="195" spans="1:13">
      <c r="A1548" s="1" t="s">
        <v>6993</v>
      </c>
      <c r="B1548" s="1" t="s">
        <v>13</v>
      </c>
      <c r="C1548" s="4" t="s">
        <v>7002</v>
      </c>
      <c r="D1548" s="1" t="s">
        <v>7003</v>
      </c>
      <c r="E1548" s="1" t="s">
        <v>7004</v>
      </c>
      <c r="F1548" s="4" t="s">
        <v>17</v>
      </c>
      <c r="G1548" s="1" t="s">
        <v>18</v>
      </c>
      <c r="H1548" s="1" t="s">
        <v>19</v>
      </c>
      <c r="I1548" s="1" t="s">
        <v>20</v>
      </c>
      <c r="J1548" s="1" t="s">
        <v>7005</v>
      </c>
      <c r="K1548" s="1" t="s">
        <v>22</v>
      </c>
      <c r="L1548" s="1" t="str">
        <f>HYPERLINK("https://files.afu.se/Downloads/Transcripts/0%20-%20Government/USA%20-%20NASA%20Kennedy/2010 12 16 - NASA's Kennedy Space Center - STS-122 Space Shuttle Launch_jqGUco8zzPs - transcript (automated).pdf","Transcript Link")</f>
        <v>Transcript Link</v>
      </c>
      <c r="M1548" s="2" t="str">
        <f>HYPERLINK("https://files.afu.se/Downloads/Transcripts/0%20-%20Government/USA%20-%20NASA%20Kennedy/2010 12 16 - NASA's Kennedy Space Center - STS-122 Space Shuttle Launch_jqGUco8zzPs - transcript (automated).pdf","Transcript Link")</f>
        <v>Transcript Link</v>
      </c>
    </row>
    <row r="1549" ht="210" spans="1:13">
      <c r="A1549" s="1" t="s">
        <v>6993</v>
      </c>
      <c r="B1549" s="1" t="s">
        <v>13</v>
      </c>
      <c r="C1549" s="4" t="s">
        <v>7006</v>
      </c>
      <c r="D1549" s="1" t="s">
        <v>7007</v>
      </c>
      <c r="E1549" s="1" t="s">
        <v>7008</v>
      </c>
      <c r="F1549" s="4" t="s">
        <v>17</v>
      </c>
      <c r="G1549" s="1" t="s">
        <v>18</v>
      </c>
      <c r="H1549" s="1" t="s">
        <v>19</v>
      </c>
      <c r="I1549" s="1" t="s">
        <v>20</v>
      </c>
      <c r="J1549" s="1" t="s">
        <v>7009</v>
      </c>
      <c r="K1549" s="1" t="s">
        <v>22</v>
      </c>
      <c r="L1549" s="1" t="str">
        <f>HYPERLINK("https://files.afu.se/Downloads/Transcripts/0%20-%20Government/USA%20-%20NASA%20Kennedy/2010 12 16 - NASA's Kennedy Space Center - STS-123 TCDT_fnyCBRDcZjk - transcript (automated).pdf","Transcript Link")</f>
        <v>Transcript Link</v>
      </c>
      <c r="M1549" s="2" t="str">
        <f>HYPERLINK("https://files.afu.se/Downloads/Transcripts/0%20-%20Government/USA%20-%20NASA%20Kennedy/2010 12 16 - NASA's Kennedy Space Center - STS-123 TCDT_fnyCBRDcZjk - transcript (automated).pdf","Transcript Link")</f>
        <v>Transcript Link</v>
      </c>
    </row>
    <row r="1550" ht="180" spans="1:13">
      <c r="A1550" s="1" t="s">
        <v>6993</v>
      </c>
      <c r="B1550" s="1" t="s">
        <v>13</v>
      </c>
      <c r="C1550" s="4" t="s">
        <v>7010</v>
      </c>
      <c r="D1550" s="1" t="s">
        <v>7011</v>
      </c>
      <c r="E1550" s="1" t="s">
        <v>7012</v>
      </c>
      <c r="F1550" s="4" t="s">
        <v>17</v>
      </c>
      <c r="G1550" s="1" t="s">
        <v>18</v>
      </c>
      <c r="H1550" s="1" t="s">
        <v>19</v>
      </c>
      <c r="I1550" s="1" t="s">
        <v>20</v>
      </c>
      <c r="J1550" s="1" t="s">
        <v>7013</v>
      </c>
      <c r="K1550" s="1" t="s">
        <v>22</v>
      </c>
      <c r="L1550" s="1" t="str">
        <f>HYPERLINK("https://files.afu.se/Downloads/Transcripts/0%20-%20Government/USA%20-%20NASA%20Kennedy/2010 12 16 - NASA's Kennedy Space Center - STS-123 Mission Webcast Part 2 of 2_pllw0lEK-bs - transcript (automated).pdf","Transcript Link")</f>
        <v>Transcript Link</v>
      </c>
      <c r="M1550" s="2" t="str">
        <f>HYPERLINK("https://files.afu.se/Downloads/Transcripts/0%20-%20Government/USA%20-%20NASA%20Kennedy/2010 12 16 - NASA's Kennedy Space Center - STS-123 Mission Webcast Part 2 of 2_pllw0lEK-bs - transcript (automated).pdf","Transcript Link")</f>
        <v>Transcript Link</v>
      </c>
    </row>
    <row r="1551" ht="195" spans="1:13">
      <c r="A1551" s="1" t="s">
        <v>7014</v>
      </c>
      <c r="B1551" s="1" t="s">
        <v>13</v>
      </c>
      <c r="C1551" s="4" t="s">
        <v>7015</v>
      </c>
      <c r="D1551" s="1" t="s">
        <v>7016</v>
      </c>
      <c r="E1551" s="1" t="s">
        <v>7017</v>
      </c>
      <c r="F1551" s="4" t="s">
        <v>17</v>
      </c>
      <c r="G1551" s="1" t="s">
        <v>18</v>
      </c>
      <c r="H1551" s="1" t="s">
        <v>19</v>
      </c>
      <c r="I1551" s="1" t="s">
        <v>20</v>
      </c>
      <c r="J1551" s="1" t="s">
        <v>7018</v>
      </c>
      <c r="K1551" s="1" t="s">
        <v>22</v>
      </c>
      <c r="L1551" s="1" t="str">
        <f>HYPERLINK("https://files.afu.se/Downloads/Transcripts/0%20-%20Government/USA%20-%20NASA%20Kennedy/2010 12 15 - NASA's Kennedy Space Center - STS-123 Space Shuttle Launch_kuIwF1Ex1pU - transcript (automated).pdf","Transcript Link")</f>
        <v>Transcript Link</v>
      </c>
      <c r="M1551" s="2" t="str">
        <f>HYPERLINK("https://files.afu.se/Downloads/Transcripts/0%20-%20Government/USA%20-%20NASA%20Kennedy/2010 12 15 - NASA's Kennedy Space Center - STS-123 Space Shuttle Launch_kuIwF1Ex1pU - transcript (automated).pdf","Transcript Link")</f>
        <v>Transcript Link</v>
      </c>
    </row>
    <row r="1552" ht="180" spans="1:13">
      <c r="A1552" s="1" t="s">
        <v>7014</v>
      </c>
      <c r="B1552" s="1" t="s">
        <v>13</v>
      </c>
      <c r="C1552" s="4" t="s">
        <v>7019</v>
      </c>
      <c r="D1552" s="1" t="s">
        <v>7020</v>
      </c>
      <c r="E1552" s="1" t="s">
        <v>7021</v>
      </c>
      <c r="F1552" s="4" t="s">
        <v>17</v>
      </c>
      <c r="G1552" s="1" t="s">
        <v>18</v>
      </c>
      <c r="H1552" s="1" t="s">
        <v>19</v>
      </c>
      <c r="I1552" s="1" t="s">
        <v>20</v>
      </c>
      <c r="J1552" s="1" t="s">
        <v>7022</v>
      </c>
      <c r="K1552" s="1" t="s">
        <v>22</v>
      </c>
      <c r="L1552" s="1" t="str">
        <f>HYPERLINK("https://files.afu.se/Downloads/Transcripts/0%20-%20Government/USA%20-%20NASA%20Kennedy/2010 12 15 - NASA's Kennedy Space Center - STS-123 Mission Webcast Part 1 of 2_X5xEKQWpU9M - transcript (automated).pdf","Transcript Link")</f>
        <v>Transcript Link</v>
      </c>
      <c r="M1552" s="2" t="str">
        <f>HYPERLINK("https://files.afu.se/Downloads/Transcripts/0%20-%20Government/USA%20-%20NASA%20Kennedy/2010 12 15 - NASA's Kennedy Space Center - STS-123 Mission Webcast Part 1 of 2_X5xEKQWpU9M - transcript (automated).pdf","Transcript Link")</f>
        <v>Transcript Link</v>
      </c>
    </row>
    <row r="1553" ht="300" spans="1:13">
      <c r="A1553" s="1" t="s">
        <v>7014</v>
      </c>
      <c r="B1553" s="1" t="s">
        <v>13</v>
      </c>
      <c r="C1553" s="4" t="s">
        <v>7023</v>
      </c>
      <c r="D1553" s="1" t="s">
        <v>7024</v>
      </c>
      <c r="E1553" s="1" t="s">
        <v>7025</v>
      </c>
      <c r="F1553" s="4" t="s">
        <v>17</v>
      </c>
      <c r="G1553" s="1" t="s">
        <v>18</v>
      </c>
      <c r="H1553" s="1" t="s">
        <v>19</v>
      </c>
      <c r="I1553" s="1" t="s">
        <v>20</v>
      </c>
      <c r="J1553" s="1" t="s">
        <v>7026</v>
      </c>
      <c r="K1553" s="1" t="s">
        <v>22</v>
      </c>
      <c r="L1553" s="1" t="str">
        <f>HYPERLINK("https://files.afu.se/Downloads/Transcripts/0%20-%20Government/USA%20-%20NASA%20Kennedy/2010 12 15 - NASA's Kennedy Space Center - STS-117 Space Shuttle Launch_AsBZSZrzWDg - transcript (automated).pdf","Transcript Link")</f>
        <v>Transcript Link</v>
      </c>
      <c r="M1553" s="2" t="str">
        <f>HYPERLINK("https://files.afu.se/Downloads/Transcripts/0%20-%20Government/USA%20-%20NASA%20Kennedy/2010 12 15 - NASA's Kennedy Space Center - STS-117 Space Shuttle Launch_AsBZSZrzWDg - transcript (automated).pdf","Transcript Link")</f>
        <v>Transcript Link</v>
      </c>
    </row>
    <row r="1554" ht="210" spans="1:13">
      <c r="A1554" s="1" t="s">
        <v>7014</v>
      </c>
      <c r="B1554" s="1" t="s">
        <v>13</v>
      </c>
      <c r="C1554" s="4" t="s">
        <v>7027</v>
      </c>
      <c r="D1554" s="1" t="s">
        <v>7028</v>
      </c>
      <c r="E1554" s="1" t="s">
        <v>7000</v>
      </c>
      <c r="F1554" s="4" t="s">
        <v>17</v>
      </c>
      <c r="G1554" s="1" t="s">
        <v>18</v>
      </c>
      <c r="H1554" s="1" t="s">
        <v>19</v>
      </c>
      <c r="I1554" s="1" t="s">
        <v>20</v>
      </c>
      <c r="J1554" s="1" t="s">
        <v>7029</v>
      </c>
      <c r="K1554" s="1" t="s">
        <v>22</v>
      </c>
      <c r="L1554" s="1" t="str">
        <f>HYPERLINK("https://files.afu.se/Downloads/Transcripts/0%20-%20Government/USA%20-%20NASA%20Kennedy/2010 12 15 - NASA's Kennedy Space Center - STS-122 Landing Pilot Point of View_HYcsCzjWe3Q - transcript (automated).pdf","Transcript Link")</f>
        <v>Transcript Link</v>
      </c>
      <c r="M1554" s="2" t="str">
        <f>HYPERLINK("https://files.afu.se/Downloads/Transcripts/0%20-%20Government/USA%20-%20NASA%20Kennedy/2010 12 15 - NASA's Kennedy Space Center - STS-122 Landing Pilot Point of View_HYcsCzjWe3Q - transcript (automated).pdf","Transcript Link")</f>
        <v>Transcript Link</v>
      </c>
    </row>
    <row r="1555" ht="315" spans="1:13">
      <c r="A1555" s="1" t="s">
        <v>7014</v>
      </c>
      <c r="B1555" s="1" t="s">
        <v>13</v>
      </c>
      <c r="C1555" s="4" t="s">
        <v>7030</v>
      </c>
      <c r="D1555" s="1" t="s">
        <v>7031</v>
      </c>
      <c r="E1555" s="1" t="s">
        <v>7032</v>
      </c>
      <c r="F1555" s="4" t="s">
        <v>17</v>
      </c>
      <c r="G1555" s="1" t="s">
        <v>18</v>
      </c>
      <c r="H1555" s="1" t="s">
        <v>19</v>
      </c>
      <c r="I1555" s="1" t="s">
        <v>20</v>
      </c>
      <c r="J1555" s="1" t="s">
        <v>7033</v>
      </c>
      <c r="K1555" s="1" t="s">
        <v>22</v>
      </c>
      <c r="L1555" s="1" t="str">
        <f>HYPERLINK("https://files.afu.se/Downloads/Transcripts/0%20-%20Government/USA%20-%20NASA%20Kennedy/2010 12 15 - NASA's Kennedy Space Center - Space Launch Complex 40 Demolished_ggX0jxxxocI - transcript (automated).pdf","Transcript Link")</f>
        <v>Transcript Link</v>
      </c>
      <c r="M1555" s="2" t="str">
        <f>HYPERLINK("https://files.afu.se/Downloads/Transcripts/0%20-%20Government/USA%20-%20NASA%20Kennedy/2010 12 15 - NASA's Kennedy Space Center - Space Launch Complex 40 Demolished_ggX0jxxxocI - transcript (automated).pdf","Transcript Link")</f>
        <v>Transcript Link</v>
      </c>
    </row>
    <row r="1556" ht="285" spans="1:13">
      <c r="A1556" s="1" t="s">
        <v>7014</v>
      </c>
      <c r="B1556" s="1" t="s">
        <v>13</v>
      </c>
      <c r="C1556" s="4" t="s">
        <v>7034</v>
      </c>
      <c r="D1556" s="1" t="s">
        <v>7035</v>
      </c>
      <c r="E1556" s="1" t="s">
        <v>7036</v>
      </c>
      <c r="F1556" s="4" t="s">
        <v>17</v>
      </c>
      <c r="G1556" s="1" t="s">
        <v>18</v>
      </c>
      <c r="H1556" s="1" t="s">
        <v>19</v>
      </c>
      <c r="I1556" s="1" t="s">
        <v>20</v>
      </c>
      <c r="J1556" s="1" t="s">
        <v>7037</v>
      </c>
      <c r="K1556" s="1" t="s">
        <v>22</v>
      </c>
      <c r="L1556" s="1" t="str">
        <f>HYPERLINK("https://files.afu.se/Downloads/Transcripts/0%20-%20Government/USA%20-%20NASA%20Kennedy/2010 12 15 - NASA's Kennedy Space Center - STS-124 Space Shuttle Discovery Rollout_p8xx6u7ddL0 - transcript (automated).pdf","Transcript Link")</f>
        <v>Transcript Link</v>
      </c>
      <c r="M1556" s="2" t="str">
        <f>HYPERLINK("https://files.afu.se/Downloads/Transcripts/0%20-%20Government/USA%20-%20NASA%20Kennedy/2010 12 15 - NASA's Kennedy Space Center - STS-124 Space Shuttle Discovery Rollout_p8xx6u7ddL0 - transcript (automated).pdf","Transcript Link")</f>
        <v>Transcript Link</v>
      </c>
    </row>
    <row r="1557" ht="255" spans="1:13">
      <c r="A1557" s="1" t="s">
        <v>7014</v>
      </c>
      <c r="B1557" s="1" t="s">
        <v>13</v>
      </c>
      <c r="C1557" s="4" t="s">
        <v>7038</v>
      </c>
      <c r="D1557" s="1" t="s">
        <v>7039</v>
      </c>
      <c r="E1557" s="1" t="s">
        <v>7040</v>
      </c>
      <c r="F1557" s="4" t="s">
        <v>17</v>
      </c>
      <c r="G1557" s="1" t="s">
        <v>18</v>
      </c>
      <c r="H1557" s="1" t="s">
        <v>19</v>
      </c>
      <c r="I1557" s="1" t="s">
        <v>20</v>
      </c>
      <c r="J1557" s="1" t="s">
        <v>7041</v>
      </c>
      <c r="K1557" s="1" t="s">
        <v>22</v>
      </c>
      <c r="L1557" s="1" t="str">
        <f>HYPERLINK("https://files.afu.se/Downloads/Transcripts/0%20-%20Government/USA%20-%20NASA%20Kennedy/2010 12 15 - NASA's Kennedy Space Center - STS-124 Astronauts Wrap Up Launch Rehearsal_kom22OHv_3g - transcript (automated).pdf","Transcript Link")</f>
        <v>Transcript Link</v>
      </c>
      <c r="M1557" s="2" t="str">
        <f>HYPERLINK("https://files.afu.se/Downloads/Transcripts/0%20-%20Government/USA%20-%20NASA%20Kennedy/2010 12 15 - NASA's Kennedy Space Center - STS-124 Astronauts Wrap Up Launch Rehearsal_kom22OHv_3g - transcript (automated).pdf","Transcript Link")</f>
        <v>Transcript Link</v>
      </c>
    </row>
    <row r="1558" ht="195" spans="1:13">
      <c r="A1558" s="1" t="s">
        <v>7014</v>
      </c>
      <c r="B1558" s="1" t="s">
        <v>13</v>
      </c>
      <c r="C1558" s="4" t="s">
        <v>7042</v>
      </c>
      <c r="D1558" s="1" t="s">
        <v>7043</v>
      </c>
      <c r="E1558" s="1" t="s">
        <v>7044</v>
      </c>
      <c r="F1558" s="4" t="s">
        <v>17</v>
      </c>
      <c r="G1558" s="1" t="s">
        <v>18</v>
      </c>
      <c r="H1558" s="1" t="s">
        <v>19</v>
      </c>
      <c r="I1558" s="1" t="s">
        <v>20</v>
      </c>
      <c r="J1558" s="1" t="s">
        <v>7045</v>
      </c>
      <c r="K1558" s="1" t="s">
        <v>22</v>
      </c>
      <c r="L1558" s="1" t="str">
        <f>HYPERLINK("https://files.afu.se/Downloads/Transcripts/0%20-%20Government/USA%20-%20NASA%20Kennedy/2010 12 15 - NASA's Kennedy Space Center - Skylab, A home above our home planet_7WouER2jb5o - transcript (automated).pdf","Transcript Link")</f>
        <v>Transcript Link</v>
      </c>
      <c r="M1558" s="2" t="str">
        <f>HYPERLINK("https://files.afu.se/Downloads/Transcripts/0%20-%20Government/USA%20-%20NASA%20Kennedy/2010 12 15 - NASA's Kennedy Space Center - Skylab, A home above our home planet_7WouER2jb5o - transcript (automated).pdf","Transcript Link")</f>
        <v>Transcript Link</v>
      </c>
    </row>
    <row r="1559" ht="210" spans="1:13">
      <c r="A1559" s="1" t="s">
        <v>7014</v>
      </c>
      <c r="B1559" s="1" t="s">
        <v>13</v>
      </c>
      <c r="C1559" s="4" t="s">
        <v>7046</v>
      </c>
      <c r="D1559" s="1" t="s">
        <v>7047</v>
      </c>
      <c r="E1559" s="1" t="s">
        <v>7048</v>
      </c>
      <c r="F1559" s="4" t="s">
        <v>17</v>
      </c>
      <c r="G1559" s="1" t="s">
        <v>18</v>
      </c>
      <c r="H1559" s="1" t="s">
        <v>19</v>
      </c>
      <c r="I1559" s="1" t="s">
        <v>20</v>
      </c>
      <c r="J1559" s="1" t="s">
        <v>7049</v>
      </c>
      <c r="K1559" s="1" t="s">
        <v>22</v>
      </c>
      <c r="L1559" s="1" t="str">
        <f>HYPERLINK("https://files.afu.se/Downloads/Transcripts/0%20-%20Government/USA%20-%20NASA%20Kennedy/2010 12 15 - NASA's Kennedy Space Center - Mode VIII Training at NASA's Kennedy Space Center_xeOaipcNFac - transcript (automated).pdf","Transcript Link")</f>
        <v>Transcript Link</v>
      </c>
      <c r="M1559" s="2" t="str">
        <f>HYPERLINK("https://files.afu.se/Downloads/Transcripts/0%20-%20Government/USA%20-%20NASA%20Kennedy/2010 12 15 - NASA's Kennedy Space Center - Mode VIII Training at NASA's Kennedy Space Center_xeOaipcNFac - transcript (automated).pdf","Transcript Link")</f>
        <v>Transcript Link</v>
      </c>
    </row>
    <row r="1560" ht="255" spans="1:13">
      <c r="A1560" s="1" t="s">
        <v>7014</v>
      </c>
      <c r="B1560" s="1" t="s">
        <v>13</v>
      </c>
      <c r="C1560" s="4" t="s">
        <v>7050</v>
      </c>
      <c r="D1560" s="1" t="s">
        <v>7051</v>
      </c>
      <c r="E1560" s="1" t="s">
        <v>7052</v>
      </c>
      <c r="F1560" s="4" t="s">
        <v>17</v>
      </c>
      <c r="G1560" s="1" t="s">
        <v>18</v>
      </c>
      <c r="H1560" s="1" t="s">
        <v>19</v>
      </c>
      <c r="I1560" s="1" t="s">
        <v>20</v>
      </c>
      <c r="J1560" s="1" t="s">
        <v>7053</v>
      </c>
      <c r="K1560" s="1" t="s">
        <v>22</v>
      </c>
      <c r="L1560" s="1" t="str">
        <f>HYPERLINK("https://files.afu.se/Downloads/Transcripts/0%20-%20Government/USA%20-%20NASA%20Kennedy/2010 12 15 - NASA's Kennedy Space Center - STS-124 L-1 Mission Update_K_x6OJ-yvs0 - transcript (automated).pdf","Transcript Link")</f>
        <v>Transcript Link</v>
      </c>
      <c r="M1560" s="2" t="str">
        <f>HYPERLINK("https://files.afu.se/Downloads/Transcripts/0%20-%20Government/USA%20-%20NASA%20Kennedy/2010 12 15 - NASA's Kennedy Space Center - STS-124 L-1 Mission Update_K_x6OJ-yvs0 - transcript (automated).pdf","Transcript Link")</f>
        <v>Transcript Link</v>
      </c>
    </row>
    <row r="1561" ht="240" spans="1:13">
      <c r="A1561" s="1" t="s">
        <v>7014</v>
      </c>
      <c r="B1561" s="1" t="s">
        <v>13</v>
      </c>
      <c r="C1561" s="4" t="s">
        <v>7054</v>
      </c>
      <c r="D1561" s="1" t="s">
        <v>7055</v>
      </c>
      <c r="E1561" s="1" t="s">
        <v>7056</v>
      </c>
      <c r="F1561" s="4" t="s">
        <v>17</v>
      </c>
      <c r="G1561" s="1" t="s">
        <v>18</v>
      </c>
      <c r="H1561" s="1" t="s">
        <v>19</v>
      </c>
      <c r="I1561" s="1" t="s">
        <v>20</v>
      </c>
      <c r="J1561" s="1" t="s">
        <v>7057</v>
      </c>
      <c r="K1561" s="1" t="s">
        <v>22</v>
      </c>
      <c r="L1561" s="1" t="str">
        <f>HYPERLINK("https://files.afu.se/Downloads/Transcripts/0%20-%20Government/USA%20-%20NASA%20Kennedy/2010 12 15 - NASA's Kennedy Space Center - STS-124 Space Shuttle Launch_MUn0mP7LwcI - transcript (automated).pdf","Transcript Link")</f>
        <v>Transcript Link</v>
      </c>
      <c r="M1561" s="2" t="str">
        <f>HYPERLINK("https://files.afu.se/Downloads/Transcripts/0%20-%20Government/USA%20-%20NASA%20Kennedy/2010 12 15 - NASA's Kennedy Space Center - STS-124 Space Shuttle Launch_MUn0mP7LwcI - transcript (automated).pdf","Transcript Link")</f>
        <v>Transcript Link</v>
      </c>
    </row>
    <row r="1562" ht="315" spans="1:13">
      <c r="A1562" s="1" t="s">
        <v>7058</v>
      </c>
      <c r="B1562" s="1" t="s">
        <v>13</v>
      </c>
      <c r="C1562" s="4" t="s">
        <v>7059</v>
      </c>
      <c r="D1562" s="1" t="s">
        <v>7060</v>
      </c>
      <c r="E1562" s="1" t="s">
        <v>7061</v>
      </c>
      <c r="F1562" s="4" t="s">
        <v>17</v>
      </c>
      <c r="G1562" s="1" t="s">
        <v>18</v>
      </c>
      <c r="H1562" s="1" t="s">
        <v>19</v>
      </c>
      <c r="I1562" s="1" t="s">
        <v>20</v>
      </c>
      <c r="J1562" s="1" t="s">
        <v>7062</v>
      </c>
      <c r="K1562" s="1" t="s">
        <v>22</v>
      </c>
      <c r="L1562" s="1" t="str">
        <f>HYPERLINK("https://files.afu.se/Downloads/Transcripts/0%20-%20Government/USA%20-%20NASA%20Kennedy/2010 12 14 - NASA's Kennedy Space Center - GLAST Webcast_N9hQTF8gPVU - transcript (automated).pdf","Transcript Link")</f>
        <v>Transcript Link</v>
      </c>
      <c r="M1562" s="2" t="str">
        <f>HYPERLINK("https://files.afu.se/Downloads/Transcripts/0%20-%20Government/USA%20-%20NASA%20Kennedy/2010 12 14 - NASA's Kennedy Space Center - GLAST Webcast_N9hQTF8gPVU - transcript (automated).pdf","Transcript Link")</f>
        <v>Transcript Link</v>
      </c>
    </row>
    <row r="1563" ht="240" spans="1:13">
      <c r="A1563" s="1" t="s">
        <v>7058</v>
      </c>
      <c r="B1563" s="1" t="s">
        <v>13</v>
      </c>
      <c r="C1563" s="4" t="s">
        <v>7063</v>
      </c>
      <c r="D1563" s="1" t="s">
        <v>7064</v>
      </c>
      <c r="E1563" s="1" t="s">
        <v>7065</v>
      </c>
      <c r="F1563" s="4" t="s">
        <v>17</v>
      </c>
      <c r="G1563" s="1" t="s">
        <v>18</v>
      </c>
      <c r="H1563" s="1" t="s">
        <v>19</v>
      </c>
      <c r="I1563" s="1" t="s">
        <v>20</v>
      </c>
      <c r="J1563" s="1" t="s">
        <v>7066</v>
      </c>
      <c r="K1563" s="1" t="s">
        <v>22</v>
      </c>
      <c r="L1563" s="1" t="str">
        <f>HYPERLINK("https://files.afu.se/Downloads/Transcripts/0%20-%20Government/USA%20-%20NASA%20Kennedy/2010 12 14 - NASA's Kennedy Space Center - GLAST Launch_4UHv5woS0mA - transcript (automated).pdf","Transcript Link")</f>
        <v>Transcript Link</v>
      </c>
      <c r="M1563" s="2" t="str">
        <f>HYPERLINK("https://files.afu.se/Downloads/Transcripts/0%20-%20Government/USA%20-%20NASA%20Kennedy/2010 12 14 - NASA's Kennedy Space Center - GLAST Launch_4UHv5woS0mA - transcript (automated).pdf","Transcript Link")</f>
        <v>Transcript Link</v>
      </c>
    </row>
    <row r="1564" ht="240" spans="1:13">
      <c r="A1564" s="1" t="s">
        <v>7058</v>
      </c>
      <c r="B1564" s="1" t="s">
        <v>13</v>
      </c>
      <c r="C1564" s="4" t="s">
        <v>7067</v>
      </c>
      <c r="D1564" s="1" t="s">
        <v>7068</v>
      </c>
      <c r="E1564" s="1" t="s">
        <v>7069</v>
      </c>
      <c r="F1564" s="4" t="s">
        <v>17</v>
      </c>
      <c r="G1564" s="1" t="s">
        <v>18</v>
      </c>
      <c r="H1564" s="1" t="s">
        <v>19</v>
      </c>
      <c r="I1564" s="1" t="s">
        <v>20</v>
      </c>
      <c r="J1564" s="1" t="s">
        <v>7070</v>
      </c>
      <c r="K1564" s="1" t="s">
        <v>22</v>
      </c>
      <c r="L1564" s="1" t="str">
        <f>HYPERLINK("https://files.afu.se/Downloads/Transcripts/0%20-%20Government/USA%20-%20NASA%20Kennedy/2010 12 14 - NASA's Kennedy Space Center - STS-124 Space Shuttle Landing_KCIgnUO2AWw - transcript (automated).pdf","Transcript Link")</f>
        <v>Transcript Link</v>
      </c>
      <c r="M1564" s="2" t="str">
        <f>HYPERLINK("https://files.afu.se/Downloads/Transcripts/0%20-%20Government/USA%20-%20NASA%20Kennedy/2010 12 14 - NASA's Kennedy Space Center - STS-124 Space Shuttle Landing_KCIgnUO2AWw - transcript (automated).pdf","Transcript Link")</f>
        <v>Transcript Link</v>
      </c>
    </row>
    <row r="1565" ht="270" spans="1:13">
      <c r="A1565" s="1" t="s">
        <v>7058</v>
      </c>
      <c r="B1565" s="1" t="s">
        <v>13</v>
      </c>
      <c r="C1565" s="4" t="s">
        <v>7071</v>
      </c>
      <c r="D1565" s="1" t="s">
        <v>7072</v>
      </c>
      <c r="E1565" s="1" t="s">
        <v>7073</v>
      </c>
      <c r="F1565" s="4" t="s">
        <v>17</v>
      </c>
      <c r="G1565" s="1" t="s">
        <v>18</v>
      </c>
      <c r="H1565" s="1" t="s">
        <v>19</v>
      </c>
      <c r="I1565" s="1" t="s">
        <v>20</v>
      </c>
      <c r="J1565" s="1" t="s">
        <v>7074</v>
      </c>
      <c r="K1565" s="1" t="s">
        <v>22</v>
      </c>
      <c r="L1565" s="1" t="str">
        <f>HYPERLINK("https://files.afu.se/Downloads/Transcripts/0%20-%20Government/USA%20-%20NASA%20Kennedy/2010 12 14 - NASA's Kennedy Space Center - OSTM Jason-2 Launch_bL0ifDm8IZ4 - transcript (automated).pdf","Transcript Link")</f>
        <v>Transcript Link</v>
      </c>
      <c r="M1565" s="2" t="str">
        <f>HYPERLINK("https://files.afu.se/Downloads/Transcripts/0%20-%20Government/USA%20-%20NASA%20Kennedy/2010 12 14 - NASA's Kennedy Space Center - OSTM Jason-2 Launch_bL0ifDm8IZ4 - transcript (automated).pdf","Transcript Link")</f>
        <v>Transcript Link</v>
      </c>
    </row>
    <row r="1566" ht="180" spans="1:13">
      <c r="A1566" s="1" t="s">
        <v>7058</v>
      </c>
      <c r="B1566" s="1" t="s">
        <v>13</v>
      </c>
      <c r="C1566" s="4" t="s">
        <v>7075</v>
      </c>
      <c r="D1566" s="1" t="s">
        <v>7076</v>
      </c>
      <c r="E1566" s="1" t="s">
        <v>7077</v>
      </c>
      <c r="F1566" s="4" t="s">
        <v>17</v>
      </c>
      <c r="G1566" s="1" t="s">
        <v>18</v>
      </c>
      <c r="H1566" s="1" t="s">
        <v>19</v>
      </c>
      <c r="I1566" s="1" t="s">
        <v>20</v>
      </c>
      <c r="J1566" s="1" t="s">
        <v>7078</v>
      </c>
      <c r="K1566" s="1" t="s">
        <v>22</v>
      </c>
      <c r="L1566" s="1" t="str">
        <f>HYPERLINK("https://files.afu.se/Downloads/Transcripts/0%20-%20Government/USA%20-%20NASA%20Kennedy/2010 12 14 - NASA's Kennedy Space Center - OSTM Jason-2 Mission Webcast_KhuDBeimgww - transcript (automated).pdf","Transcript Link")</f>
        <v>Transcript Link</v>
      </c>
      <c r="M1566" s="2" t="str">
        <f>HYPERLINK("https://files.afu.se/Downloads/Transcripts/0%20-%20Government/USA%20-%20NASA%20Kennedy/2010 12 14 - NASA's Kennedy Space Center - OSTM Jason-2 Mission Webcast_KhuDBeimgww - transcript (automated).pdf","Transcript Link")</f>
        <v>Transcript Link</v>
      </c>
    </row>
    <row r="1567" ht="270" spans="1:13">
      <c r="A1567" s="1" t="s">
        <v>7058</v>
      </c>
      <c r="B1567" s="1" t="s">
        <v>13</v>
      </c>
      <c r="C1567" s="4" t="s">
        <v>7079</v>
      </c>
      <c r="D1567" s="1" t="s">
        <v>7080</v>
      </c>
      <c r="E1567" s="1" t="s">
        <v>7073</v>
      </c>
      <c r="F1567" s="4" t="s">
        <v>17</v>
      </c>
      <c r="G1567" s="1" t="s">
        <v>18</v>
      </c>
      <c r="H1567" s="1" t="s">
        <v>19</v>
      </c>
      <c r="I1567" s="1" t="s">
        <v>20</v>
      </c>
      <c r="J1567" s="1" t="s">
        <v>7081</v>
      </c>
      <c r="K1567" s="1" t="s">
        <v>22</v>
      </c>
      <c r="L1567" s="1" t="str">
        <f>HYPERLINK("https://files.afu.se/Downloads/Transcripts/0%20-%20Government/USA%20-%20NASA%20Kennedy/2010 12 14 - NASA's Kennedy Space Center - OSTM Jason-2 Spacecraft Separation_BPi155hKktA - transcript (automated).pdf","Transcript Link")</f>
        <v>Transcript Link</v>
      </c>
      <c r="M1567" s="2" t="str">
        <f>HYPERLINK("https://files.afu.se/Downloads/Transcripts/0%20-%20Government/USA%20-%20NASA%20Kennedy/2010 12 14 - NASA's Kennedy Space Center - OSTM Jason-2 Spacecraft Separation_BPi155hKktA - transcript (automated).pdf","Transcript Link")</f>
        <v>Transcript Link</v>
      </c>
    </row>
    <row r="1568" ht="255" spans="1:13">
      <c r="A1568" s="1" t="s">
        <v>7058</v>
      </c>
      <c r="B1568" s="1" t="s">
        <v>13</v>
      </c>
      <c r="C1568" s="4" t="s">
        <v>7082</v>
      </c>
      <c r="D1568" s="1" t="s">
        <v>7083</v>
      </c>
      <c r="E1568" s="1" t="s">
        <v>7084</v>
      </c>
      <c r="F1568" s="4" t="s">
        <v>17</v>
      </c>
      <c r="G1568" s="1" t="s">
        <v>18</v>
      </c>
      <c r="H1568" s="1" t="s">
        <v>19</v>
      </c>
      <c r="I1568" s="1" t="s">
        <v>20</v>
      </c>
      <c r="J1568" s="1" t="s">
        <v>7085</v>
      </c>
      <c r="K1568" s="1" t="s">
        <v>22</v>
      </c>
      <c r="L1568" s="1" t="str">
        <f>HYPERLINK("https://files.afu.se/Downloads/Transcripts/0%20-%20Government/USA%20-%20NASA%20Kennedy/2010 12 14 - NASA's Kennedy Space Center - Go For Launch!_VfrdZiXDHZM - transcript (automated).pdf","Transcript Link")</f>
        <v>Transcript Link</v>
      </c>
      <c r="M1568" s="2" t="str">
        <f>HYPERLINK("https://files.afu.se/Downloads/Transcripts/0%20-%20Government/USA%20-%20NASA%20Kennedy/2010 12 14 - NASA's Kennedy Space Center - Go For Launch!_VfrdZiXDHZM - transcript (automated).pdf","Transcript Link")</f>
        <v>Transcript Link</v>
      </c>
    </row>
    <row r="1569" ht="195" spans="1:13">
      <c r="A1569" s="1" t="s">
        <v>7058</v>
      </c>
      <c r="B1569" s="1" t="s">
        <v>13</v>
      </c>
      <c r="C1569" s="4" t="s">
        <v>7086</v>
      </c>
      <c r="D1569" s="1" t="s">
        <v>7087</v>
      </c>
      <c r="E1569" s="1" t="s">
        <v>7088</v>
      </c>
      <c r="F1569" s="4" t="s">
        <v>17</v>
      </c>
      <c r="G1569" s="1" t="s">
        <v>18</v>
      </c>
      <c r="H1569" s="1" t="s">
        <v>19</v>
      </c>
      <c r="I1569" s="1" t="s">
        <v>20</v>
      </c>
      <c r="J1569" s="1" t="s">
        <v>7089</v>
      </c>
      <c r="K1569" s="1" t="s">
        <v>22</v>
      </c>
      <c r="L1569" s="1" t="str">
        <f>HYPERLINK("https://files.afu.se/Downloads/Transcripts/0%20-%20Government/USA%20-%20NASA%20Kennedy/2010 12 14 - NASA's Kennedy Space Center - In Their Own Words  Canadian astronaut Julie Payette_uuEwgQtPTwc - transcript (automated).pdf","Transcript Link")</f>
        <v>Transcript Link</v>
      </c>
      <c r="M1569" s="2" t="str">
        <f>HYPERLINK("https://files.afu.se/Downloads/Transcripts/0%20-%20Government/USA%20-%20NASA%20Kennedy/2010 12 14 - NASA's Kennedy Space Center - In Their Own Words  Canadian astronaut Julie Payette_uuEwgQtPTwc - transcript (automated).pdf","Transcript Link")</f>
        <v>Transcript Link</v>
      </c>
    </row>
    <row r="1570" ht="195" spans="1:13">
      <c r="A1570" s="1" t="s">
        <v>7058</v>
      </c>
      <c r="B1570" s="1" t="s">
        <v>13</v>
      </c>
      <c r="C1570" s="4" t="s">
        <v>7090</v>
      </c>
      <c r="D1570" s="1" t="s">
        <v>7091</v>
      </c>
      <c r="E1570" s="1" t="s">
        <v>7092</v>
      </c>
      <c r="F1570" s="4" t="s">
        <v>17</v>
      </c>
      <c r="G1570" s="1" t="s">
        <v>18</v>
      </c>
      <c r="H1570" s="1" t="s">
        <v>19</v>
      </c>
      <c r="I1570" s="1" t="s">
        <v>20</v>
      </c>
      <c r="J1570" s="1" t="s">
        <v>7093</v>
      </c>
      <c r="K1570" s="1" t="s">
        <v>22</v>
      </c>
      <c r="L1570" s="1" t="str">
        <f>HYPERLINK("https://files.afu.se/Downloads/Transcripts/0%20-%20Government/USA%20-%20NASA%20Kennedy/2010 12 14 - NASA's Kennedy Space Center - In Their Own Words  NASA Astronaut Michael Foale_gKcbbcDi_XQ - transcript (automated).pdf","Transcript Link")</f>
        <v>Transcript Link</v>
      </c>
      <c r="M1570" s="2" t="str">
        <f>HYPERLINK("https://files.afu.se/Downloads/Transcripts/0%20-%20Government/USA%20-%20NASA%20Kennedy/2010 12 14 - NASA's Kennedy Space Center - In Their Own Words  NASA Astronaut Michael Foale_gKcbbcDi_XQ - transcript (automated).pdf","Transcript Link")</f>
        <v>Transcript Link</v>
      </c>
    </row>
    <row r="1571" ht="255" spans="1:13">
      <c r="A1571" s="1" t="s">
        <v>7058</v>
      </c>
      <c r="B1571" s="1" t="s">
        <v>13</v>
      </c>
      <c r="C1571" s="4" t="s">
        <v>7094</v>
      </c>
      <c r="D1571" s="1" t="s">
        <v>7095</v>
      </c>
      <c r="E1571" s="1" t="s">
        <v>7096</v>
      </c>
      <c r="F1571" s="4" t="s">
        <v>17</v>
      </c>
      <c r="G1571" s="1" t="s">
        <v>18</v>
      </c>
      <c r="H1571" s="1" t="s">
        <v>19</v>
      </c>
      <c r="I1571" s="1" t="s">
        <v>20</v>
      </c>
      <c r="J1571" s="1" t="s">
        <v>7097</v>
      </c>
      <c r="K1571" s="1" t="s">
        <v>22</v>
      </c>
      <c r="L1571" s="1" t="str">
        <f>HYPERLINK("https://files.afu.se/Downloads/Transcripts/0%20-%20Government/USA%20-%20NASA%20Kennedy/2010 12 14 - NASA's Kennedy Space Center - STS-125 Crew Payload  CEIT_yW-1RvmWVBA - transcript (automated).pdf","Transcript Link")</f>
        <v>Transcript Link</v>
      </c>
      <c r="M1571" s="2" t="str">
        <f>HYPERLINK("https://files.afu.se/Downloads/Transcripts/0%20-%20Government/USA%20-%20NASA%20Kennedy/2010 12 14 - NASA's Kennedy Space Center - STS-125 Crew Payload  CEIT_yW-1RvmWVBA - transcript (automated).pdf","Transcript Link")</f>
        <v>Transcript Link</v>
      </c>
    </row>
    <row r="1572" ht="195" spans="1:13">
      <c r="A1572" s="1" t="s">
        <v>7058</v>
      </c>
      <c r="B1572" s="1" t="s">
        <v>13</v>
      </c>
      <c r="C1572" s="4" t="s">
        <v>7098</v>
      </c>
      <c r="D1572" s="1" t="s">
        <v>7099</v>
      </c>
      <c r="E1572" s="1" t="s">
        <v>7100</v>
      </c>
      <c r="F1572" s="4" t="s">
        <v>17</v>
      </c>
      <c r="G1572" s="1" t="s">
        <v>18</v>
      </c>
      <c r="H1572" s="1" t="s">
        <v>19</v>
      </c>
      <c r="I1572" s="1" t="s">
        <v>20</v>
      </c>
      <c r="J1572" s="1" t="s">
        <v>7101</v>
      </c>
      <c r="K1572" s="1" t="s">
        <v>22</v>
      </c>
      <c r="L1572" s="1" t="str">
        <f>HYPERLINK("https://files.afu.se/Downloads/Transcripts/0%20-%20Government/USA%20-%20NASA%20Kennedy/2010 12 14 - NASA's Kennedy Space Center - STS-125  Return to Hubble_EacZgVKjDyw - transcript (automated).pdf","Transcript Link")</f>
        <v>Transcript Link</v>
      </c>
      <c r="M1572" s="2" t="str">
        <f>HYPERLINK("https://files.afu.se/Downloads/Transcripts/0%20-%20Government/USA%20-%20NASA%20Kennedy/2010 12 14 - NASA's Kennedy Space Center - STS-125  Return to Hubble_EacZgVKjDyw - transcript (automated).pdf","Transcript Link")</f>
        <v>Transcript Link</v>
      </c>
    </row>
    <row r="1573" ht="240" spans="1:13">
      <c r="A1573" s="1" t="s">
        <v>7058</v>
      </c>
      <c r="B1573" s="1" t="s">
        <v>13</v>
      </c>
      <c r="C1573" s="4" t="s">
        <v>7102</v>
      </c>
      <c r="D1573" s="1" t="s">
        <v>7103</v>
      </c>
      <c r="E1573" s="1" t="s">
        <v>7104</v>
      </c>
      <c r="F1573" s="4" t="s">
        <v>17</v>
      </c>
      <c r="G1573" s="1" t="s">
        <v>18</v>
      </c>
      <c r="H1573" s="1" t="s">
        <v>19</v>
      </c>
      <c r="I1573" s="1" t="s">
        <v>20</v>
      </c>
      <c r="J1573" s="1" t="s">
        <v>7105</v>
      </c>
      <c r="K1573" s="1" t="s">
        <v>22</v>
      </c>
      <c r="L1573" s="1" t="str">
        <f>HYPERLINK("https://files.afu.se/Downloads/Transcripts/0%20-%20Government/USA%20-%20NASA%20Kennedy/2010 12 14 - NASA's Kennedy Space Center - Dynamic Duo on Launch Pads_RVQeLGEf7Do - transcript (automated).pdf","Transcript Link")</f>
        <v>Transcript Link</v>
      </c>
      <c r="M1573" s="2" t="str">
        <f>HYPERLINK("https://files.afu.se/Downloads/Transcripts/0%20-%20Government/USA%20-%20NASA%20Kennedy/2010 12 14 - NASA's Kennedy Space Center - Dynamic Duo on Launch Pads_RVQeLGEf7Do - transcript (automated).pdf","Transcript Link")</f>
        <v>Transcript Link</v>
      </c>
    </row>
    <row r="1574" ht="225" spans="1:13">
      <c r="A1574" s="1" t="s">
        <v>7058</v>
      </c>
      <c r="B1574" s="1" t="s">
        <v>13</v>
      </c>
      <c r="C1574" s="4" t="s">
        <v>7106</v>
      </c>
      <c r="D1574" s="1" t="s">
        <v>7107</v>
      </c>
      <c r="E1574" s="1" t="s">
        <v>7108</v>
      </c>
      <c r="F1574" s="4" t="s">
        <v>17</v>
      </c>
      <c r="G1574" s="1" t="s">
        <v>18</v>
      </c>
      <c r="H1574" s="1" t="s">
        <v>19</v>
      </c>
      <c r="I1574" s="1" t="s">
        <v>20</v>
      </c>
      <c r="J1574" s="1" t="s">
        <v>7109</v>
      </c>
      <c r="K1574" s="1" t="s">
        <v>22</v>
      </c>
      <c r="L1574" s="1" t="str">
        <f>HYPERLINK("https://files.afu.se/Downloads/Transcripts/0%20-%20Government/USA%20-%20NASA%20Kennedy/2010 12 14 - NASA's Kennedy Space Center - IBEX Launch_RP497U1uGIw - transcript (automated).pdf","Transcript Link")</f>
        <v>Transcript Link</v>
      </c>
      <c r="M1574" s="2" t="str">
        <f>HYPERLINK("https://files.afu.se/Downloads/Transcripts/0%20-%20Government/USA%20-%20NASA%20Kennedy/2010 12 14 - NASA's Kennedy Space Center - IBEX Launch_RP497U1uGIw - transcript (automated).pdf","Transcript Link")</f>
        <v>Transcript Link</v>
      </c>
    </row>
    <row r="1575" ht="225" spans="1:13">
      <c r="A1575" s="1" t="s">
        <v>7058</v>
      </c>
      <c r="B1575" s="1" t="s">
        <v>13</v>
      </c>
      <c r="C1575" s="4" t="s">
        <v>7110</v>
      </c>
      <c r="D1575" s="1" t="s">
        <v>7111</v>
      </c>
      <c r="E1575" s="1" t="s">
        <v>7112</v>
      </c>
      <c r="F1575" s="4" t="s">
        <v>17</v>
      </c>
      <c r="G1575" s="1" t="s">
        <v>18</v>
      </c>
      <c r="H1575" s="1" t="s">
        <v>19</v>
      </c>
      <c r="I1575" s="1" t="s">
        <v>20</v>
      </c>
      <c r="J1575" s="1" t="s">
        <v>7113</v>
      </c>
      <c r="K1575" s="1" t="s">
        <v>22</v>
      </c>
      <c r="L1575" s="1" t="str">
        <f>HYPERLINK("https://files.afu.se/Downloads/Transcripts/0%20-%20Government/USA%20-%20NASA%20Kennedy/2010 12 14 - NASA's Kennedy Space Center - STS-126 TCDT_opBkWnBf1qs - transcript (automated).pdf","Transcript Link")</f>
        <v>Transcript Link</v>
      </c>
      <c r="M1575" s="2" t="str">
        <f>HYPERLINK("https://files.afu.se/Downloads/Transcripts/0%20-%20Government/USA%20-%20NASA%20Kennedy/2010 12 14 - NASA's Kennedy Space Center - STS-126 TCDT_opBkWnBf1qs - transcript (automated).pdf","Transcript Link")</f>
        <v>Transcript Link</v>
      </c>
    </row>
    <row r="1576" ht="225" spans="1:13">
      <c r="A1576" s="1" t="s">
        <v>7058</v>
      </c>
      <c r="B1576" s="1" t="s">
        <v>13</v>
      </c>
      <c r="C1576" s="4" t="s">
        <v>7114</v>
      </c>
      <c r="D1576" s="1" t="s">
        <v>7115</v>
      </c>
      <c r="E1576" s="1" t="s">
        <v>7116</v>
      </c>
      <c r="F1576" s="4" t="s">
        <v>17</v>
      </c>
      <c r="G1576" s="1" t="s">
        <v>18</v>
      </c>
      <c r="H1576" s="1" t="s">
        <v>19</v>
      </c>
      <c r="I1576" s="1" t="s">
        <v>20</v>
      </c>
      <c r="J1576" s="1" t="s">
        <v>7117</v>
      </c>
      <c r="K1576" s="1" t="s">
        <v>22</v>
      </c>
      <c r="L1576" s="1" t="str">
        <f>HYPERLINK("https://files.afu.se/Downloads/Transcripts/0%20-%20Government/USA%20-%20NASA%20Kennedy/2010 12 14 - NASA's Kennedy Space Center - STS-126 L-1 Webcast_yoXGi6DuA6M - transcript (automated).pdf","Transcript Link")</f>
        <v>Transcript Link</v>
      </c>
      <c r="M1576" s="2" t="str">
        <f>HYPERLINK("https://files.afu.se/Downloads/Transcripts/0%20-%20Government/USA%20-%20NASA%20Kennedy/2010 12 14 - NASA's Kennedy Space Center - STS-126 L-1 Webcast_yoXGi6DuA6M - transcript (automated).pdf","Transcript Link")</f>
        <v>Transcript Link</v>
      </c>
    </row>
    <row r="1577" ht="225" spans="1:13">
      <c r="A1577" s="1" t="s">
        <v>7058</v>
      </c>
      <c r="B1577" s="1" t="s">
        <v>13</v>
      </c>
      <c r="C1577" s="4" t="s">
        <v>7118</v>
      </c>
      <c r="D1577" s="1" t="s">
        <v>7119</v>
      </c>
      <c r="E1577" s="1" t="s">
        <v>7120</v>
      </c>
      <c r="F1577" s="4" t="s">
        <v>17</v>
      </c>
      <c r="G1577" s="1" t="s">
        <v>18</v>
      </c>
      <c r="H1577" s="1" t="s">
        <v>19</v>
      </c>
      <c r="I1577" s="1" t="s">
        <v>20</v>
      </c>
      <c r="J1577" s="1" t="s">
        <v>7121</v>
      </c>
      <c r="K1577" s="1" t="s">
        <v>22</v>
      </c>
      <c r="L1577" s="1" t="str">
        <f>HYPERLINK("https://files.afu.se/Downloads/Transcripts/0%20-%20Government/USA%20-%20NASA%20Kennedy/2010 12 14 - NASA's Kennedy Space Center - STS-126 Space Shuttle Launch_gKldtj6UZKE - transcript (automated).pdf","Transcript Link")</f>
        <v>Transcript Link</v>
      </c>
      <c r="M1577" s="2" t="str">
        <f>HYPERLINK("https://files.afu.se/Downloads/Transcripts/0%20-%20Government/USA%20-%20NASA%20Kennedy/2010 12 14 - NASA's Kennedy Space Center - STS-126 Space Shuttle Launch_gKldtj6UZKE - transcript (automated).pdf","Transcript Link")</f>
        <v>Transcript Link</v>
      </c>
    </row>
    <row r="1578" ht="240" spans="1:13">
      <c r="A1578" s="1" t="s">
        <v>7058</v>
      </c>
      <c r="B1578" s="1" t="s">
        <v>13</v>
      </c>
      <c r="C1578" s="4" t="s">
        <v>7122</v>
      </c>
      <c r="D1578" s="1" t="s">
        <v>7123</v>
      </c>
      <c r="E1578" s="1" t="s">
        <v>7124</v>
      </c>
      <c r="F1578" s="4" t="s">
        <v>17</v>
      </c>
      <c r="G1578" s="1" t="s">
        <v>18</v>
      </c>
      <c r="H1578" s="1" t="s">
        <v>19</v>
      </c>
      <c r="I1578" s="1" t="s">
        <v>20</v>
      </c>
      <c r="J1578" s="1" t="s">
        <v>7125</v>
      </c>
      <c r="K1578" s="1" t="s">
        <v>22</v>
      </c>
      <c r="L1578" s="1" t="str">
        <f>HYPERLINK("https://files.afu.se/Downloads/Transcripts/0%20-%20Government/USA%20-%20NASA%20Kennedy/2010 12 14 - NASA's Kennedy Space Center - STS-126 Landing_z-eeswIoIQ0 - transcript (automated).pdf","Transcript Link")</f>
        <v>Transcript Link</v>
      </c>
      <c r="M1578" s="2" t="str">
        <f>HYPERLINK("https://files.afu.se/Downloads/Transcripts/0%20-%20Government/USA%20-%20NASA%20Kennedy/2010 12 14 - NASA's Kennedy Space Center - STS-126 Landing_z-eeswIoIQ0 - transcript (automated).pdf","Transcript Link")</f>
        <v>Transcript Link</v>
      </c>
    </row>
    <row r="1579" ht="180" spans="1:13">
      <c r="A1579" s="1" t="s">
        <v>7058</v>
      </c>
      <c r="B1579" s="1" t="s">
        <v>13</v>
      </c>
      <c r="C1579" s="4" t="s">
        <v>7126</v>
      </c>
      <c r="D1579" s="1" t="s">
        <v>7127</v>
      </c>
      <c r="E1579" s="1" t="s">
        <v>7128</v>
      </c>
      <c r="F1579" s="4" t="s">
        <v>17</v>
      </c>
      <c r="G1579" s="1" t="s">
        <v>18</v>
      </c>
      <c r="H1579" s="1" t="s">
        <v>19</v>
      </c>
      <c r="I1579" s="1" t="s">
        <v>20</v>
      </c>
      <c r="J1579" s="1" t="s">
        <v>7129</v>
      </c>
      <c r="K1579" s="1" t="s">
        <v>22</v>
      </c>
      <c r="L1579" s="1" t="str">
        <f>HYPERLINK("https://files.afu.se/Downloads/Transcripts/0%20-%20Government/USA%20-%20NASA%20Kennedy/2010 12 14 - NASA's Kennedy Space Center - STS-126 Solid Rocket Booster Camera Views_6YALaYYPRMc - transcript (automated).pdf","Transcript Link")</f>
        <v>Transcript Link</v>
      </c>
      <c r="M1579" s="2" t="str">
        <f>HYPERLINK("https://files.afu.se/Downloads/Transcripts/0%20-%20Government/USA%20-%20NASA%20Kennedy/2010 12 14 - NASA's Kennedy Space Center - STS-126 Solid Rocket Booster Camera Views_6YALaYYPRMc - transcript (automated).pdf","Transcript Link")</f>
        <v>Transcript Link</v>
      </c>
    </row>
    <row r="1580" ht="210" spans="1:13">
      <c r="A1580" s="1" t="s">
        <v>7058</v>
      </c>
      <c r="B1580" s="1" t="s">
        <v>13</v>
      </c>
      <c r="C1580" s="4" t="s">
        <v>7130</v>
      </c>
      <c r="D1580" s="1" t="s">
        <v>7131</v>
      </c>
      <c r="E1580" s="1" t="s">
        <v>7132</v>
      </c>
      <c r="F1580" s="4" t="s">
        <v>17</v>
      </c>
      <c r="G1580" s="1" t="s">
        <v>18</v>
      </c>
      <c r="H1580" s="1" t="s">
        <v>19</v>
      </c>
      <c r="I1580" s="1" t="s">
        <v>20</v>
      </c>
      <c r="J1580" s="1" t="s">
        <v>7133</v>
      </c>
      <c r="K1580" s="1" t="s">
        <v>22</v>
      </c>
      <c r="L1580" s="1" t="str">
        <f>HYPERLINK("https://files.afu.se/Downloads/Transcripts/0%20-%20Government/USA%20-%20NASA%20Kennedy/2010 12 14 - NASA's Kennedy Space Center - STS-119 Rollout_EWVutF2hH4I - transcript (automated).pdf","Transcript Link")</f>
        <v>Transcript Link</v>
      </c>
      <c r="M1580" s="2" t="str">
        <f>HYPERLINK("https://files.afu.se/Downloads/Transcripts/0%20-%20Government/USA%20-%20NASA%20Kennedy/2010 12 14 - NASA's Kennedy Space Center - STS-119 Rollout_EWVutF2hH4I - transcript (automated).pdf","Transcript Link")</f>
        <v>Transcript Link</v>
      </c>
    </row>
    <row r="1581" ht="180" spans="1:13">
      <c r="A1581" s="1" t="s">
        <v>7058</v>
      </c>
      <c r="B1581" s="1" t="s">
        <v>13</v>
      </c>
      <c r="C1581" s="4" t="s">
        <v>7134</v>
      </c>
      <c r="D1581" s="1" t="s">
        <v>7135</v>
      </c>
      <c r="E1581" s="1" t="s">
        <v>7136</v>
      </c>
      <c r="F1581" s="4" t="s">
        <v>17</v>
      </c>
      <c r="G1581" s="1" t="s">
        <v>18</v>
      </c>
      <c r="H1581" s="1" t="s">
        <v>19</v>
      </c>
      <c r="I1581" s="1" t="s">
        <v>20</v>
      </c>
      <c r="J1581" s="1" t="s">
        <v>7137</v>
      </c>
      <c r="K1581" s="1" t="s">
        <v>22</v>
      </c>
      <c r="L1581" s="1" t="str">
        <f>HYPERLINK("https://files.afu.se/Downloads/Transcripts/0%20-%20Government/USA%20-%20NASA%20Kennedy/2010 12 14 - NASA's Kennedy Space Center - America's Spaceport_im9a9SOiq5k - transcript (automated).pdf","Transcript Link")</f>
        <v>Transcript Link</v>
      </c>
      <c r="M1581" s="2" t="str">
        <f>HYPERLINK("https://files.afu.se/Downloads/Transcripts/0%20-%20Government/USA%20-%20NASA%20Kennedy/2010 12 14 - NASA's Kennedy Space Center - America's Spaceport_im9a9SOiq5k - transcript (automated).pdf","Transcript Link")</f>
        <v>Transcript Link</v>
      </c>
    </row>
    <row r="1582" ht="210" spans="1:13">
      <c r="A1582" s="1" t="s">
        <v>7138</v>
      </c>
      <c r="B1582" s="1" t="s">
        <v>13</v>
      </c>
      <c r="C1582" s="4" t="s">
        <v>7139</v>
      </c>
      <c r="D1582" s="1" t="s">
        <v>7140</v>
      </c>
      <c r="E1582" s="1" t="s">
        <v>7141</v>
      </c>
      <c r="F1582" s="4" t="s">
        <v>17</v>
      </c>
      <c r="G1582" s="1" t="s">
        <v>18</v>
      </c>
      <c r="H1582" s="1" t="s">
        <v>19</v>
      </c>
      <c r="I1582" s="1" t="s">
        <v>20</v>
      </c>
      <c r="J1582" s="1" t="s">
        <v>7142</v>
      </c>
      <c r="K1582" s="1" t="s">
        <v>22</v>
      </c>
      <c r="L1582" s="1" t="str">
        <f>HYPERLINK("https://files.afu.se/Downloads/Transcripts/0%20-%20Government/USA%20-%20NASA%20Kennedy/2010 12 13 - NASA's Kennedy Space Center - STS-119 TCDT_Su-0mfqHK3c - transcript (automated).pdf","Transcript Link")</f>
        <v>Transcript Link</v>
      </c>
      <c r="M1582" s="2" t="str">
        <f>HYPERLINK("https://files.afu.se/Downloads/Transcripts/0%20-%20Government/USA%20-%20NASA%20Kennedy/2010 12 13 - NASA's Kennedy Space Center - STS-119 TCDT_Su-0mfqHK3c - transcript (automated).pdf","Transcript Link")</f>
        <v>Transcript Link</v>
      </c>
    </row>
    <row r="1583" ht="210" spans="1:13">
      <c r="A1583" s="1" t="s">
        <v>7138</v>
      </c>
      <c r="B1583" s="1" t="s">
        <v>13</v>
      </c>
      <c r="C1583" s="4" t="s">
        <v>7143</v>
      </c>
      <c r="D1583" s="1" t="s">
        <v>7144</v>
      </c>
      <c r="E1583" s="1" t="s">
        <v>7145</v>
      </c>
      <c r="F1583" s="4" t="s">
        <v>17</v>
      </c>
      <c r="G1583" s="1" t="s">
        <v>18</v>
      </c>
      <c r="H1583" s="1" t="s">
        <v>19</v>
      </c>
      <c r="I1583" s="1" t="s">
        <v>20</v>
      </c>
      <c r="J1583" s="1" t="s">
        <v>7146</v>
      </c>
      <c r="K1583" s="1" t="s">
        <v>22</v>
      </c>
      <c r="L1583" s="1" t="str">
        <f>HYPERLINK("https://files.afu.se/Downloads/Transcripts/0%20-%20Government/USA%20-%20NASA%20Kennedy/2010 12 13 - NASA's Kennedy Space Center - NOAA-N Prime Journey to Launch_nxhlfBLS8rg - transcript (automated).pdf","Transcript Link")</f>
        <v>Transcript Link</v>
      </c>
      <c r="M1583" s="2" t="str">
        <f>HYPERLINK("https://files.afu.se/Downloads/Transcripts/0%20-%20Government/USA%20-%20NASA%20Kennedy/2010 12 13 - NASA's Kennedy Space Center - NOAA-N Prime Journey to Launch_nxhlfBLS8rg - transcript (automated).pdf","Transcript Link")</f>
        <v>Transcript Link</v>
      </c>
    </row>
    <row r="1584" ht="180" spans="1:13">
      <c r="A1584" s="1" t="s">
        <v>7138</v>
      </c>
      <c r="B1584" s="1" t="s">
        <v>13</v>
      </c>
      <c r="C1584" s="4" t="s">
        <v>7147</v>
      </c>
      <c r="D1584" s="1" t="s">
        <v>7148</v>
      </c>
      <c r="E1584" s="1" t="s">
        <v>7149</v>
      </c>
      <c r="F1584" s="4" t="s">
        <v>17</v>
      </c>
      <c r="G1584" s="1" t="s">
        <v>18</v>
      </c>
      <c r="H1584" s="1" t="s">
        <v>19</v>
      </c>
      <c r="I1584" s="1" t="s">
        <v>20</v>
      </c>
      <c r="J1584" s="1" t="s">
        <v>7150</v>
      </c>
      <c r="K1584" s="1" t="s">
        <v>22</v>
      </c>
      <c r="L1584" s="1" t="str">
        <f>HYPERLINK("https://files.afu.se/Downloads/Transcripts/0%20-%20Government/USA%20-%20NASA%20Kennedy/2010 12 13 - NASA's Kennedy Space Center - Kepler Mission Webcast_gzNjHW6H09A - transcript (automated).pdf","Transcript Link")</f>
        <v>Transcript Link</v>
      </c>
      <c r="M1584" s="2" t="str">
        <f>HYPERLINK("https://files.afu.se/Downloads/Transcripts/0%20-%20Government/USA%20-%20NASA%20Kennedy/2010 12 13 - NASA's Kennedy Space Center - Kepler Mission Webcast_gzNjHW6H09A - transcript (automated).pdf","Transcript Link")</f>
        <v>Transcript Link</v>
      </c>
    </row>
    <row r="1585" ht="180" spans="1:13">
      <c r="A1585" s="1" t="s">
        <v>7151</v>
      </c>
      <c r="B1585" s="1" t="s">
        <v>13</v>
      </c>
      <c r="C1585" s="4" t="s">
        <v>7152</v>
      </c>
      <c r="D1585" s="1" t="s">
        <v>7153</v>
      </c>
      <c r="E1585" s="1" t="s">
        <v>7154</v>
      </c>
      <c r="F1585" s="4" t="s">
        <v>17</v>
      </c>
      <c r="G1585" s="1" t="s">
        <v>18</v>
      </c>
      <c r="H1585" s="1" t="s">
        <v>19</v>
      </c>
      <c r="I1585" s="1" t="s">
        <v>20</v>
      </c>
      <c r="J1585" s="1" t="s">
        <v>7155</v>
      </c>
      <c r="K1585" s="1" t="s">
        <v>22</v>
      </c>
      <c r="L1585" s="1" t="str">
        <f>HYPERLINK("https://files.afu.se/Downloads/Transcripts/0%20-%20Government/USA%20-%20NASA%20Kennedy/2010 12 10 - NASA's Kennedy Space Center - In Their Own Words  NASA Astronaut Dorothy Metcalf-Lindenburger_8HaEioEwyzk - transcript (automated).pdf","Transcript Link")</f>
        <v>Transcript Link</v>
      </c>
      <c r="M1585" s="2" t="str">
        <f>HYPERLINK("https://files.afu.se/Downloads/Transcripts/0%20-%20Government/USA%20-%20NASA%20Kennedy/2010 12 10 - NASA's Kennedy Space Center - In Their Own Words  NASA Astronaut Dorothy Metcalf-Lindenburger_8HaEioEwyzk - transcript (automated).pdf","Transcript Link")</f>
        <v>Transcript Link</v>
      </c>
    </row>
    <row r="1586" ht="225" spans="1:13">
      <c r="A1586" s="1" t="s">
        <v>7156</v>
      </c>
      <c r="B1586" s="1" t="s">
        <v>13</v>
      </c>
      <c r="C1586" s="4" t="s">
        <v>7157</v>
      </c>
      <c r="D1586" s="1" t="s">
        <v>7158</v>
      </c>
      <c r="E1586" s="1" t="s">
        <v>7159</v>
      </c>
      <c r="F1586" s="4" t="s">
        <v>17</v>
      </c>
      <c r="G1586" s="1" t="s">
        <v>18</v>
      </c>
      <c r="H1586" s="1" t="s">
        <v>19</v>
      </c>
      <c r="I1586" s="1" t="s">
        <v>20</v>
      </c>
      <c r="J1586" s="1" t="s">
        <v>7160</v>
      </c>
      <c r="K1586" s="1" t="s">
        <v>22</v>
      </c>
      <c r="L1586" s="1" t="str">
        <f>HYPERLINK("https://files.afu.se/Downloads/Transcripts/0%20-%20Government/USA%20-%20NASA%20Kennedy/2010 12 08 - NASA's Kennedy Space Center - Space-X Launch's Falcon 9 on Demonstration Flight_2Vf5zn5Vgno - transcript (automated).pdf","Transcript Link")</f>
        <v>Transcript Link</v>
      </c>
      <c r="M1586" s="2" t="str">
        <f>HYPERLINK("https://files.afu.se/Downloads/Transcripts/0%20-%20Government/USA%20-%20NASA%20Kennedy/2010 12 08 - NASA's Kennedy Space Center - Space-X Launch's Falcon 9 on Demonstration Flight_2Vf5zn5Vgno - transcript (automated).pdf","Transcript Link")</f>
        <v>Transcript Link</v>
      </c>
    </row>
    <row r="1587" ht="180" spans="1:13">
      <c r="A1587" s="1" t="s">
        <v>7161</v>
      </c>
      <c r="B1587" s="1" t="s">
        <v>13</v>
      </c>
      <c r="C1587" s="4" t="s">
        <v>7162</v>
      </c>
      <c r="D1587" s="1" t="s">
        <v>7163</v>
      </c>
      <c r="E1587" s="1" t="s">
        <v>7164</v>
      </c>
      <c r="F1587" s="4" t="s">
        <v>17</v>
      </c>
      <c r="G1587" s="1" t="s">
        <v>18</v>
      </c>
      <c r="H1587" s="1" t="s">
        <v>19</v>
      </c>
      <c r="I1587" s="1" t="s">
        <v>20</v>
      </c>
      <c r="J1587" s="1" t="s">
        <v>7165</v>
      </c>
      <c r="K1587" s="1" t="s">
        <v>22</v>
      </c>
      <c r="L1587" s="1" t="str">
        <f>HYPERLINK("https://files.afu.se/Downloads/Transcripts/0%20-%20Government/USA%20-%20NASA%20Kennedy/2010 12 03 - NASA's Kennedy Space Center - Space Shuttle Era  TCDT_UCVjEKk1TWg - transcript (automated).pdf","Transcript Link")</f>
        <v>Transcript Link</v>
      </c>
      <c r="M1587" s="2" t="str">
        <f>HYPERLINK("https://files.afu.se/Downloads/Transcripts/0%20-%20Government/USA%20-%20NASA%20Kennedy/2010 12 03 - NASA's Kennedy Space Center - Space Shuttle Era  TCDT_UCVjEKk1TWg - transcript (automated).pdf","Transcript Link")</f>
        <v>Transcript Link</v>
      </c>
    </row>
    <row r="1588" ht="180" spans="1:13">
      <c r="A1588" s="1" t="s">
        <v>7166</v>
      </c>
      <c r="B1588" s="1" t="s">
        <v>13</v>
      </c>
      <c r="C1588" s="4" t="s">
        <v>7167</v>
      </c>
      <c r="D1588" s="1" t="s">
        <v>7168</v>
      </c>
      <c r="E1588" s="1" t="s">
        <v>7169</v>
      </c>
      <c r="F1588" s="4" t="s">
        <v>17</v>
      </c>
      <c r="G1588" s="1" t="s">
        <v>18</v>
      </c>
      <c r="H1588" s="1" t="s">
        <v>19</v>
      </c>
      <c r="I1588" s="1" t="s">
        <v>20</v>
      </c>
      <c r="J1588" s="1" t="s">
        <v>7170</v>
      </c>
      <c r="K1588" s="1" t="s">
        <v>22</v>
      </c>
      <c r="L1588" s="1" t="str">
        <f>HYPERLINK("https://files.afu.se/Downloads/Transcripts/0%20-%20Government/USA%20-%20NASA%20Kennedy/2010 11 24 - NASA's Kennedy Space Center - Expedition 25 Thanksgiving Message_OCBORBjbc-A - transcript (automated).pdf","Transcript Link")</f>
        <v>Transcript Link</v>
      </c>
      <c r="M1588" s="2" t="str">
        <f>HYPERLINK("https://files.afu.se/Downloads/Transcripts/0%20-%20Government/USA%20-%20NASA%20Kennedy/2010 11 24 - NASA's Kennedy Space Center - Expedition 25 Thanksgiving Message_OCBORBjbc-A - transcript (automated).pdf","Transcript Link")</f>
        <v>Transcript Link</v>
      </c>
    </row>
    <row r="1589" ht="180" spans="1:13">
      <c r="A1589" s="1" t="s">
        <v>7171</v>
      </c>
      <c r="B1589" s="1" t="s">
        <v>13</v>
      </c>
      <c r="C1589" s="4" t="s">
        <v>7172</v>
      </c>
      <c r="D1589" s="1" t="s">
        <v>7173</v>
      </c>
      <c r="E1589" s="1" t="s">
        <v>7174</v>
      </c>
      <c r="F1589" s="4" t="s">
        <v>17</v>
      </c>
      <c r="G1589" s="1" t="s">
        <v>18</v>
      </c>
      <c r="H1589" s="1" t="s">
        <v>19</v>
      </c>
      <c r="I1589" s="1" t="s">
        <v>20</v>
      </c>
      <c r="J1589" s="1" t="s">
        <v>7175</v>
      </c>
      <c r="K1589" s="1" t="s">
        <v>22</v>
      </c>
      <c r="L1589" s="1" t="str">
        <f>HYPERLINK("https://files.afu.se/Downloads/Transcripts/0%20-%20Government/USA%20-%20NASA%20Kennedy/2010 11 15 - NASA's Kennedy Space Center - Space Shuttle Era  Landing Sites_1XeKS0MeLsA - transcript (automated).pdf","Transcript Link")</f>
        <v>Transcript Link</v>
      </c>
      <c r="M1589" s="2" t="str">
        <f>HYPERLINK("https://files.afu.se/Downloads/Transcripts/0%20-%20Government/USA%20-%20NASA%20Kennedy/2010 11 15 - NASA's Kennedy Space Center - Space Shuttle Era  Landing Sites_1XeKS0MeLsA - transcript (automated).pdf","Transcript Link")</f>
        <v>Transcript Link</v>
      </c>
    </row>
    <row r="1590" ht="180" spans="1:13">
      <c r="A1590" s="1" t="s">
        <v>7171</v>
      </c>
      <c r="B1590" s="1" t="s">
        <v>13</v>
      </c>
      <c r="C1590" s="4" t="s">
        <v>7176</v>
      </c>
      <c r="D1590" s="1" t="s">
        <v>7177</v>
      </c>
      <c r="E1590" s="1" t="s">
        <v>7178</v>
      </c>
      <c r="F1590" s="4" t="s">
        <v>17</v>
      </c>
      <c r="G1590" s="1" t="s">
        <v>18</v>
      </c>
      <c r="H1590" s="1" t="s">
        <v>19</v>
      </c>
      <c r="I1590" s="1" t="s">
        <v>20</v>
      </c>
      <c r="J1590" s="1" t="s">
        <v>7179</v>
      </c>
      <c r="K1590" s="1" t="s">
        <v>22</v>
      </c>
      <c r="L1590" s="1" t="str">
        <f>HYPERLINK("https://files.afu.se/Downloads/Transcripts/0%20-%20Government/USA%20-%20NASA%20Kennedy/2010 11 15 - NASA's Kennedy Space Center - Kepler Lifts Off on Planet Finding Mission_0OWdiBNdvpI - transcript (automated).pdf","Transcript Link")</f>
        <v>Transcript Link</v>
      </c>
      <c r="M1590" s="2" t="str">
        <f>HYPERLINK("https://files.afu.se/Downloads/Transcripts/0%20-%20Government/USA%20-%20NASA%20Kennedy/2010 11 15 - NASA's Kennedy Space Center - Kepler Lifts Off on Planet Finding Mission_0OWdiBNdvpI - transcript (automated).pdf","Transcript Link")</f>
        <v>Transcript Link</v>
      </c>
    </row>
    <row r="1591" ht="255" spans="1:13">
      <c r="A1591" s="1" t="s">
        <v>7180</v>
      </c>
      <c r="B1591" s="1" t="s">
        <v>13</v>
      </c>
      <c r="C1591" s="4" t="s">
        <v>7181</v>
      </c>
      <c r="D1591" s="1" t="s">
        <v>7182</v>
      </c>
      <c r="E1591" s="1" t="s">
        <v>7183</v>
      </c>
      <c r="F1591" s="4" t="s">
        <v>17</v>
      </c>
      <c r="G1591" s="1" t="s">
        <v>18</v>
      </c>
      <c r="H1591" s="1" t="s">
        <v>19</v>
      </c>
      <c r="I1591" s="1" t="s">
        <v>20</v>
      </c>
      <c r="J1591" s="1" t="s">
        <v>7184</v>
      </c>
      <c r="K1591" s="1" t="s">
        <v>22</v>
      </c>
      <c r="L1591" s="1" t="str">
        <f>HYPERLINK("https://files.afu.se/Downloads/Transcripts/0%20-%20Government/USA%20-%20NASA%20Kennedy/2010 11 12 - NASA's Kennedy Space Center - STS-119 Mission Webcast_2E5Q-ZucHRc - transcript (automated).pdf","Transcript Link")</f>
        <v>Transcript Link</v>
      </c>
      <c r="M1591" s="2" t="str">
        <f>HYPERLINK("https://files.afu.se/Downloads/Transcripts/0%20-%20Government/USA%20-%20NASA%20Kennedy/2010 11 12 - NASA's Kennedy Space Center - STS-119 Mission Webcast_2E5Q-ZucHRc - transcript (automated).pdf","Transcript Link")</f>
        <v>Transcript Link</v>
      </c>
    </row>
    <row r="1592" ht="180" spans="1:13">
      <c r="A1592" s="1" t="s">
        <v>7185</v>
      </c>
      <c r="B1592" s="1" t="s">
        <v>13</v>
      </c>
      <c r="C1592" s="4" t="s">
        <v>7186</v>
      </c>
      <c r="D1592" s="1" t="s">
        <v>7187</v>
      </c>
      <c r="E1592" s="1" t="s">
        <v>7188</v>
      </c>
      <c r="F1592" s="4" t="s">
        <v>17</v>
      </c>
      <c r="G1592" s="1" t="s">
        <v>18</v>
      </c>
      <c r="H1592" s="1" t="s">
        <v>19</v>
      </c>
      <c r="I1592" s="1" t="s">
        <v>20</v>
      </c>
      <c r="J1592" s="1" t="s">
        <v>7189</v>
      </c>
      <c r="K1592" s="1" t="s">
        <v>22</v>
      </c>
      <c r="L1592" s="1" t="str">
        <f>HYPERLINK("https://files.afu.se/Downloads/Transcripts/0%20-%20Government/USA%20-%20NASA%20Kennedy/2010 11 10 - NASA's Kennedy Space Center - STS-119 SRB Camera Views_axDQ3k7vHVc - transcript (automated).pdf","Transcript Link")</f>
        <v>Transcript Link</v>
      </c>
      <c r="M1592" s="2" t="str">
        <f>HYPERLINK("https://files.afu.se/Downloads/Transcripts/0%20-%20Government/USA%20-%20NASA%20Kennedy/2010 11 10 - NASA's Kennedy Space Center - STS-119 SRB Camera Views_axDQ3k7vHVc - transcript (automated).pdf","Transcript Link")</f>
        <v>Transcript Link</v>
      </c>
    </row>
    <row r="1593" ht="180" spans="1:13">
      <c r="A1593" s="1" t="s">
        <v>7185</v>
      </c>
      <c r="B1593" s="1" t="s">
        <v>13</v>
      </c>
      <c r="C1593" s="4" t="s">
        <v>7190</v>
      </c>
      <c r="D1593" s="1" t="s">
        <v>7191</v>
      </c>
      <c r="E1593" s="1" t="s">
        <v>7192</v>
      </c>
      <c r="F1593" s="4" t="s">
        <v>17</v>
      </c>
      <c r="G1593" s="1" t="s">
        <v>18</v>
      </c>
      <c r="H1593" s="1" t="s">
        <v>19</v>
      </c>
      <c r="I1593" s="1" t="s">
        <v>20</v>
      </c>
      <c r="J1593" s="1" t="s">
        <v>7193</v>
      </c>
      <c r="K1593" s="1" t="s">
        <v>22</v>
      </c>
      <c r="L1593" s="1" t="str">
        <f>HYPERLINK("https://files.afu.se/Downloads/Transcripts/0%20-%20Government/USA%20-%20NASA%20Kennedy/2010 11 10 - NASA's Kennedy Space Center - STS-119 Space Shuttle Discovery Landing_DrMPThP7P5E - transcript (automated).pdf","Transcript Link")</f>
        <v>Transcript Link</v>
      </c>
      <c r="M1593" s="2" t="str">
        <f>HYPERLINK("https://files.afu.se/Downloads/Transcripts/0%20-%20Government/USA%20-%20NASA%20Kennedy/2010 11 10 - NASA's Kennedy Space Center - STS-119 Space Shuttle Discovery Landing_DrMPThP7P5E - transcript (automated).pdf","Transcript Link")</f>
        <v>Transcript Link</v>
      </c>
    </row>
    <row r="1594" ht="180" spans="1:13">
      <c r="A1594" s="1" t="s">
        <v>7185</v>
      </c>
      <c r="B1594" s="1" t="s">
        <v>13</v>
      </c>
      <c r="C1594" s="4" t="s">
        <v>7194</v>
      </c>
      <c r="D1594" s="1" t="s">
        <v>7195</v>
      </c>
      <c r="E1594" s="1" t="s">
        <v>7196</v>
      </c>
      <c r="F1594" s="4" t="s">
        <v>17</v>
      </c>
      <c r="G1594" s="1" t="s">
        <v>18</v>
      </c>
      <c r="H1594" s="1" t="s">
        <v>19</v>
      </c>
      <c r="I1594" s="1" t="s">
        <v>20</v>
      </c>
      <c r="J1594" s="1" t="s">
        <v>7197</v>
      </c>
      <c r="K1594" s="1" t="s">
        <v>22</v>
      </c>
      <c r="L1594" s="1" t="str">
        <f>HYPERLINK("https://files.afu.se/Downloads/Transcripts/0%20-%20Government/USA%20-%20NASA%20Kennedy/2010 11 10 - NASA's Kennedy Space Center - STS-119 Mission Overview__LTBBiHZ4jQ - transcript (automated).pdf","Transcript Link")</f>
        <v>Transcript Link</v>
      </c>
      <c r="M1594" s="2" t="str">
        <f>HYPERLINK("https://files.afu.se/Downloads/Transcripts/0%20-%20Government/USA%20-%20NASA%20Kennedy/2010 11 10 - NASA's Kennedy Space Center - STS-119 Mission Overview__LTBBiHZ4jQ - transcript (automated).pdf","Transcript Link")</f>
        <v>Transcript Link</v>
      </c>
    </row>
    <row r="1595" ht="180" spans="1:13">
      <c r="A1595" s="1" t="s">
        <v>7185</v>
      </c>
      <c r="B1595" s="1" t="s">
        <v>13</v>
      </c>
      <c r="C1595" s="4" t="s">
        <v>7198</v>
      </c>
      <c r="D1595" s="1" t="s">
        <v>7199</v>
      </c>
      <c r="E1595" s="1" t="s">
        <v>7200</v>
      </c>
      <c r="F1595" s="4" t="s">
        <v>17</v>
      </c>
      <c r="G1595" s="1" t="s">
        <v>18</v>
      </c>
      <c r="H1595" s="1" t="s">
        <v>19</v>
      </c>
      <c r="I1595" s="1" t="s">
        <v>20</v>
      </c>
      <c r="J1595" s="1" t="s">
        <v>7201</v>
      </c>
      <c r="K1595" s="1" t="s">
        <v>22</v>
      </c>
      <c r="L1595" s="1" t="str">
        <f>HYPERLINK("https://files.afu.se/Downloads/Transcripts/0%20-%20Government/USA%20-%20NASA%20Kennedy/2010 11 10 - NASA's Kennedy Space Center - Atlantis Rolls to the Pad_X01mL7dbSjw - transcript (automated).pdf","Transcript Link")</f>
        <v>Transcript Link</v>
      </c>
      <c r="M1595" s="2" t="str">
        <f>HYPERLINK("https://files.afu.se/Downloads/Transcripts/0%20-%20Government/USA%20-%20NASA%20Kennedy/2010 11 10 - NASA's Kennedy Space Center - Atlantis Rolls to the Pad_X01mL7dbSjw - transcript (automated).pdf","Transcript Link")</f>
        <v>Transcript Link</v>
      </c>
    </row>
    <row r="1596" ht="225" spans="1:13">
      <c r="A1596" s="1" t="s">
        <v>7185</v>
      </c>
      <c r="B1596" s="1" t="s">
        <v>13</v>
      </c>
      <c r="C1596" s="4" t="s">
        <v>7202</v>
      </c>
      <c r="D1596" s="1" t="s">
        <v>7203</v>
      </c>
      <c r="E1596" s="1" t="s">
        <v>7204</v>
      </c>
      <c r="F1596" s="4" t="s">
        <v>17</v>
      </c>
      <c r="G1596" s="1" t="s">
        <v>18</v>
      </c>
      <c r="H1596" s="1" t="s">
        <v>19</v>
      </c>
      <c r="I1596" s="1" t="s">
        <v>20</v>
      </c>
      <c r="J1596" s="1" t="s">
        <v>7205</v>
      </c>
      <c r="K1596" s="1" t="s">
        <v>22</v>
      </c>
      <c r="L1596" s="1" t="str">
        <f>HYPERLINK("https://files.afu.se/Downloads/Transcripts/0%20-%20Government/USA%20-%20NASA%20Kennedy/2010 11 10 - NASA's Kennedy Space Center - STS-125 Mission Webcast_m2q375mth1w - transcript (automated).pdf","Transcript Link")</f>
        <v>Transcript Link</v>
      </c>
      <c r="M1596" s="2" t="str">
        <f>HYPERLINK("https://files.afu.se/Downloads/Transcripts/0%20-%20Government/USA%20-%20NASA%20Kennedy/2010 11 10 - NASA's Kennedy Space Center - STS-125 Mission Webcast_m2q375mth1w - transcript (automated).pdf","Transcript Link")</f>
        <v>Transcript Link</v>
      </c>
    </row>
    <row r="1597" ht="180" spans="1:13">
      <c r="A1597" s="1" t="s">
        <v>7206</v>
      </c>
      <c r="B1597" s="1" t="s">
        <v>13</v>
      </c>
      <c r="C1597" s="4" t="s">
        <v>7207</v>
      </c>
      <c r="D1597" s="1" t="s">
        <v>7208</v>
      </c>
      <c r="E1597" s="1" t="s">
        <v>7209</v>
      </c>
      <c r="F1597" s="4" t="s">
        <v>17</v>
      </c>
      <c r="G1597" s="1" t="s">
        <v>18</v>
      </c>
      <c r="H1597" s="1" t="s">
        <v>19</v>
      </c>
      <c r="I1597" s="1" t="s">
        <v>20</v>
      </c>
      <c r="J1597" s="1" t="s">
        <v>7210</v>
      </c>
      <c r="K1597" s="1" t="s">
        <v>22</v>
      </c>
      <c r="L1597" s="1" t="str">
        <f>HYPERLINK("https://files.afu.se/Downloads/Transcripts/0%20-%20Government/USA%20-%20NASA%20Kennedy/2010 11 09 - NASA's Kennedy Space Center - Endeavour Moves to Pad 39B_PMFQFhUSCj0 - transcript (automated).pdf","Transcript Link")</f>
        <v>Transcript Link</v>
      </c>
      <c r="M1597" s="2" t="str">
        <f>HYPERLINK("https://files.afu.se/Downloads/Transcripts/0%20-%20Government/USA%20-%20NASA%20Kennedy/2010 11 09 - NASA's Kennedy Space Center - Endeavour Moves to Pad 39B_PMFQFhUSCj0 - transcript (automated).pdf","Transcript Link")</f>
        <v>Transcript Link</v>
      </c>
    </row>
    <row r="1598" ht="210" spans="1:13">
      <c r="A1598" s="1" t="s">
        <v>7206</v>
      </c>
      <c r="B1598" s="1" t="s">
        <v>13</v>
      </c>
      <c r="C1598" s="4" t="s">
        <v>7211</v>
      </c>
      <c r="D1598" s="1" t="s">
        <v>7212</v>
      </c>
      <c r="E1598" s="1" t="s">
        <v>7213</v>
      </c>
      <c r="F1598" s="4" t="s">
        <v>17</v>
      </c>
      <c r="G1598" s="1" t="s">
        <v>18</v>
      </c>
      <c r="H1598" s="1" t="s">
        <v>19</v>
      </c>
      <c r="I1598" s="1" t="s">
        <v>20</v>
      </c>
      <c r="J1598" s="1" t="s">
        <v>7214</v>
      </c>
      <c r="K1598" s="1" t="s">
        <v>22</v>
      </c>
      <c r="L1598" s="1" t="str">
        <f>HYPERLINK("https://files.afu.se/Downloads/Transcripts/0%20-%20Government/USA%20-%20NASA%20Kennedy/2010 11 09 - NASA's Kennedy Space Center - STS-125 Space Shuttle Atlantis Launch_4OTMVMzrfms - transcript (automated).pdf","Transcript Link")</f>
        <v>Transcript Link</v>
      </c>
      <c r="M1598" s="2" t="str">
        <f>HYPERLINK("https://files.afu.se/Downloads/Transcripts/0%20-%20Government/USA%20-%20NASA%20Kennedy/2010 11 09 - NASA's Kennedy Space Center - STS-125 Space Shuttle Atlantis Launch_4OTMVMzrfms - transcript (automated).pdf","Transcript Link")</f>
        <v>Transcript Link</v>
      </c>
    </row>
    <row r="1599" ht="210" spans="1:13">
      <c r="A1599" s="1" t="s">
        <v>7206</v>
      </c>
      <c r="B1599" s="1" t="s">
        <v>13</v>
      </c>
      <c r="C1599" s="4" t="s">
        <v>7215</v>
      </c>
      <c r="D1599" s="1" t="s">
        <v>7216</v>
      </c>
      <c r="E1599" s="1" t="s">
        <v>7217</v>
      </c>
      <c r="F1599" s="4" t="s">
        <v>17</v>
      </c>
      <c r="G1599" s="1" t="s">
        <v>18</v>
      </c>
      <c r="H1599" s="1" t="s">
        <v>19</v>
      </c>
      <c r="I1599" s="1" t="s">
        <v>20</v>
      </c>
      <c r="J1599" s="1" t="s">
        <v>7218</v>
      </c>
      <c r="K1599" s="1" t="s">
        <v>22</v>
      </c>
      <c r="L1599" s="1" t="str">
        <f>HYPERLINK("https://files.afu.se/Downloads/Transcripts/0%20-%20Government/USA%20-%20NASA%20Kennedy/2010 11 09 - NASA's Kennedy Space Center - STS-125 Space Shuttle Landing_37ETKRYgXrU - transcript (automated).pdf","Transcript Link")</f>
        <v>Transcript Link</v>
      </c>
      <c r="M1599" s="2" t="str">
        <f>HYPERLINK("https://files.afu.se/Downloads/Transcripts/0%20-%20Government/USA%20-%20NASA%20Kennedy/2010 11 09 - NASA's Kennedy Space Center - STS-125 Space Shuttle Landing_37ETKRYgXrU - transcript (automated).pdf","Transcript Link")</f>
        <v>Transcript Link</v>
      </c>
    </row>
    <row r="1600" ht="315" spans="1:13">
      <c r="A1600" s="1" t="s">
        <v>7219</v>
      </c>
      <c r="B1600" s="1" t="s">
        <v>13</v>
      </c>
      <c r="C1600" s="4" t="s">
        <v>7220</v>
      </c>
      <c r="D1600" s="1" t="s">
        <v>7221</v>
      </c>
      <c r="E1600" s="1" t="s">
        <v>7222</v>
      </c>
      <c r="F1600" s="4" t="s">
        <v>17</v>
      </c>
      <c r="G1600" s="1" t="s">
        <v>18</v>
      </c>
      <c r="H1600" s="1" t="s">
        <v>19</v>
      </c>
      <c r="I1600" s="1" t="s">
        <v>20</v>
      </c>
      <c r="J1600" s="1" t="s">
        <v>7223</v>
      </c>
      <c r="K1600" s="1" t="s">
        <v>22</v>
      </c>
      <c r="L1600" s="1" t="str">
        <f>HYPERLINK("https://files.afu.se/Downloads/Transcripts/0%20-%20Government/USA%20-%20NASA%20Kennedy/2010 11 05 - NASA's Kennedy Space Center - Space Shuttle Era  Ground Umbilical Carrier Plate_3HLtTRsPzSA - transcript (automated).pdf","Transcript Link")</f>
        <v>Transcript Link</v>
      </c>
      <c r="M1600" s="2" t="str">
        <f>HYPERLINK("https://files.afu.se/Downloads/Transcripts/0%20-%20Government/USA%20-%20NASA%20Kennedy/2010 11 05 - NASA's Kennedy Space Center - Space Shuttle Era  Ground Umbilical Carrier Plate_3HLtTRsPzSA - transcript (automated).pdf","Transcript Link")</f>
        <v>Transcript Link</v>
      </c>
    </row>
    <row r="1601" ht="195" spans="1:13">
      <c r="A1601" s="1" t="s">
        <v>7219</v>
      </c>
      <c r="B1601" s="1" t="s">
        <v>13</v>
      </c>
      <c r="C1601" s="4" t="s">
        <v>7224</v>
      </c>
      <c r="D1601" s="1" t="s">
        <v>7225</v>
      </c>
      <c r="E1601" s="1" t="s">
        <v>7226</v>
      </c>
      <c r="F1601" s="4" t="s">
        <v>17</v>
      </c>
      <c r="G1601" s="1" t="s">
        <v>18</v>
      </c>
      <c r="H1601" s="1" t="s">
        <v>19</v>
      </c>
      <c r="I1601" s="1" t="s">
        <v>20</v>
      </c>
      <c r="J1601" s="1" t="s">
        <v>7227</v>
      </c>
      <c r="K1601" s="1" t="s">
        <v>22</v>
      </c>
      <c r="L1601" s="1" t="str">
        <f>HYPERLINK("https://files.afu.se/Downloads/Transcripts/0%20-%20Government/USA%20-%20NASA%20Kennedy/2010 11 05 - NASA's Kennedy Space Center - STS-133 Launch Scrub_uM-BqF2TIZo - transcript (automated).pdf","Transcript Link")</f>
        <v>Transcript Link</v>
      </c>
      <c r="M1601" s="2" t="str">
        <f>HYPERLINK("https://files.afu.se/Downloads/Transcripts/0%20-%20Government/USA%20-%20NASA%20Kennedy/2010 11 05 - NASA's Kennedy Space Center - STS-133 Launch Scrub_uM-BqF2TIZo - transcript (automated).pdf","Transcript Link")</f>
        <v>Transcript Link</v>
      </c>
    </row>
    <row r="1602" ht="345" spans="1:13">
      <c r="A1602" s="1" t="s">
        <v>7228</v>
      </c>
      <c r="B1602" s="1" t="s">
        <v>13</v>
      </c>
      <c r="C1602" s="4" t="s">
        <v>7229</v>
      </c>
      <c r="D1602" s="1" t="s">
        <v>7230</v>
      </c>
      <c r="E1602" s="1" t="s">
        <v>7231</v>
      </c>
      <c r="F1602" s="4" t="s">
        <v>17</v>
      </c>
      <c r="G1602" s="1" t="s">
        <v>18</v>
      </c>
      <c r="H1602" s="1" t="s">
        <v>19</v>
      </c>
      <c r="I1602" s="1" t="s">
        <v>20</v>
      </c>
      <c r="J1602" s="1" t="s">
        <v>7232</v>
      </c>
      <c r="K1602" s="1" t="s">
        <v>22</v>
      </c>
      <c r="L1602" s="1" t="str">
        <f>HYPERLINK("https://files.afu.se/Downloads/Transcripts/0%20-%20Government/USA%20-%20NASA%20Kennedy/2010 10 29 - NASA's Kennedy Space Center - Space Shuttle Era  STS-133 Webcast_XjTl8BPk7NQ - transcript (automated).pdf","Transcript Link")</f>
        <v>Transcript Link</v>
      </c>
      <c r="M1602" s="2" t="str">
        <f>HYPERLINK("https://files.afu.se/Downloads/Transcripts/0%20-%20Government/USA%20-%20NASA%20Kennedy/2010 10 29 - NASA's Kennedy Space Center - Space Shuttle Era  STS-133 Webcast_XjTl8BPk7NQ - transcript (automated).pdf","Transcript Link")</f>
        <v>Transcript Link</v>
      </c>
    </row>
    <row r="1603" ht="240" spans="1:13">
      <c r="A1603" s="1" t="s">
        <v>7233</v>
      </c>
      <c r="B1603" s="1" t="s">
        <v>13</v>
      </c>
      <c r="C1603" s="4" t="s">
        <v>7234</v>
      </c>
      <c r="D1603" s="1" t="s">
        <v>7235</v>
      </c>
      <c r="E1603" s="1" t="s">
        <v>7236</v>
      </c>
      <c r="F1603" s="4" t="s">
        <v>17</v>
      </c>
      <c r="G1603" s="1" t="s">
        <v>18</v>
      </c>
      <c r="H1603" s="1" t="s">
        <v>19</v>
      </c>
      <c r="I1603" s="1" t="s">
        <v>20</v>
      </c>
      <c r="J1603" s="1" t="s">
        <v>7237</v>
      </c>
      <c r="K1603" s="1" t="s">
        <v>22</v>
      </c>
      <c r="L1603" s="1" t="str">
        <f>HYPERLINK("https://files.afu.se/Downloads/Transcripts/0%20-%20Government/USA%20-%20NASA%20Kennedy/2010 10 18 - NASA's Kennedy Space Center - STS-133 Astronauts Rehearse Launch Day During TCDT_txtgdh8K1Zo - transcript (automated).pdf","Transcript Link")</f>
        <v>Transcript Link</v>
      </c>
      <c r="M1603" s="2" t="str">
        <f>HYPERLINK("https://files.afu.se/Downloads/Transcripts/0%20-%20Government/USA%20-%20NASA%20Kennedy/2010 10 18 - NASA's Kennedy Space Center - STS-133 Astronauts Rehearse Launch Day During TCDT_txtgdh8K1Zo - transcript (automated).pdf","Transcript Link")</f>
        <v>Transcript Link</v>
      </c>
    </row>
    <row r="1604" ht="225" spans="1:13">
      <c r="A1604" s="1" t="s">
        <v>7238</v>
      </c>
      <c r="B1604" s="1" t="s">
        <v>13</v>
      </c>
      <c r="C1604" s="4" t="s">
        <v>7239</v>
      </c>
      <c r="D1604" s="1" t="s">
        <v>7240</v>
      </c>
      <c r="E1604" s="1" t="s">
        <v>7241</v>
      </c>
      <c r="F1604" s="4" t="s">
        <v>17</v>
      </c>
      <c r="G1604" s="1" t="s">
        <v>18</v>
      </c>
      <c r="H1604" s="1" t="s">
        <v>19</v>
      </c>
      <c r="I1604" s="1" t="s">
        <v>20</v>
      </c>
      <c r="J1604" s="1" t="s">
        <v>7242</v>
      </c>
      <c r="K1604" s="1" t="s">
        <v>22</v>
      </c>
      <c r="L1604" s="1" t="str">
        <f>HYPERLINK("https://files.afu.se/Downloads/Transcripts/0%20-%20Government/USA%20-%20NASA%20Kennedy/2010 10 15 - NASA's Kennedy Space Center - The Crew of STS-133 Sign the Space Shuttle Program Memorial Wall_uYEtDUEtBZc - transcript (automated).pdf","Transcript Link")</f>
        <v>Transcript Link</v>
      </c>
      <c r="M1604" s="2" t="str">
        <f>HYPERLINK("https://files.afu.se/Downloads/Transcripts/0%20-%20Government/USA%20-%20NASA%20Kennedy/2010 10 15 - NASA's Kennedy Space Center - The Crew of STS-133 Sign the Space Shuttle Program Memorial Wall_uYEtDUEtBZc - transcript (automated).pdf","Transcript Link")</f>
        <v>Transcript Link</v>
      </c>
    </row>
    <row r="1605" ht="195" spans="1:13">
      <c r="A1605" s="1" t="s">
        <v>7243</v>
      </c>
      <c r="B1605" s="1" t="s">
        <v>13</v>
      </c>
      <c r="C1605" s="4" t="s">
        <v>7244</v>
      </c>
      <c r="D1605" s="1" t="s">
        <v>7245</v>
      </c>
      <c r="E1605" s="1" t="s">
        <v>7246</v>
      </c>
      <c r="F1605" s="4" t="s">
        <v>17</v>
      </c>
      <c r="G1605" s="1" t="s">
        <v>18</v>
      </c>
      <c r="H1605" s="1" t="s">
        <v>19</v>
      </c>
      <c r="I1605" s="1" t="s">
        <v>20</v>
      </c>
      <c r="J1605" s="1" t="s">
        <v>7247</v>
      </c>
      <c r="K1605" s="1" t="s">
        <v>22</v>
      </c>
      <c r="L1605" s="1" t="str">
        <f>HYPERLINK("https://files.afu.se/Downloads/Transcripts/0%20-%20Government/USA%20-%20NASA%20Kennedy/2010 10 01 - NASA's Kennedy Space Center - Space Shuttle Era  Covering the Space Shuttle Program_xRoi14aYJOM - transcript (automated).pdf","Transcript Link")</f>
        <v>Transcript Link</v>
      </c>
      <c r="M1605" s="2" t="str">
        <f>HYPERLINK("https://files.afu.se/Downloads/Transcripts/0%20-%20Government/USA%20-%20NASA%20Kennedy/2010 10 01 - NASA's Kennedy Space Center - Space Shuttle Era  Covering the Space Shuttle Program_xRoi14aYJOM - transcript (automated).pdf","Transcript Link")</f>
        <v>Transcript Link</v>
      </c>
    </row>
    <row r="1606" ht="180" spans="1:13">
      <c r="A1606" s="1" t="s">
        <v>7243</v>
      </c>
      <c r="B1606" s="1" t="s">
        <v>13</v>
      </c>
      <c r="C1606" s="4" t="s">
        <v>7248</v>
      </c>
      <c r="D1606" s="1" t="s">
        <v>7249</v>
      </c>
      <c r="E1606" s="1" t="s">
        <v>7250</v>
      </c>
      <c r="F1606" s="4" t="s">
        <v>17</v>
      </c>
      <c r="G1606" s="1" t="s">
        <v>18</v>
      </c>
      <c r="H1606" s="1" t="s">
        <v>19</v>
      </c>
      <c r="I1606" s="1" t="s">
        <v>20</v>
      </c>
      <c r="J1606" s="1" t="s">
        <v>7251</v>
      </c>
      <c r="K1606" s="1" t="s">
        <v>22</v>
      </c>
      <c r="L1606" s="1" t="str">
        <f>HYPERLINK("https://files.afu.se/Downloads/Transcripts/0%20-%20Government/USA%20-%20NASA%20Kennedy/2010 10 01 - NASA's Kennedy Space Center - Timelapse Footage of Lifting the External Tank_Ze2fJhIhih0 - transcript (automated).pdf","Transcript Link")</f>
        <v>Transcript Link</v>
      </c>
      <c r="M1606" s="2" t="str">
        <f>HYPERLINK("https://files.afu.se/Downloads/Transcripts/0%20-%20Government/USA%20-%20NASA%20Kennedy/2010 10 01 - NASA's Kennedy Space Center - Timelapse Footage of Lifting the External Tank_Ze2fJhIhih0 - transcript (automated).pdf","Transcript Link")</f>
        <v>Transcript Link</v>
      </c>
    </row>
    <row r="1607" ht="409.5" spans="1:13">
      <c r="A1607" s="1" t="s">
        <v>7252</v>
      </c>
      <c r="B1607" s="1" t="s">
        <v>13</v>
      </c>
      <c r="C1607" s="4" t="s">
        <v>7253</v>
      </c>
      <c r="D1607" s="1" t="s">
        <v>7254</v>
      </c>
      <c r="E1607" s="1" t="s">
        <v>7255</v>
      </c>
      <c r="F1607" s="4" t="s">
        <v>17</v>
      </c>
      <c r="G1607" s="1" t="s">
        <v>18</v>
      </c>
      <c r="H1607" s="1" t="s">
        <v>19</v>
      </c>
      <c r="I1607" s="1" t="s">
        <v>20</v>
      </c>
      <c r="J1607" s="1" t="s">
        <v>7256</v>
      </c>
      <c r="K1607" s="1" t="s">
        <v>22</v>
      </c>
      <c r="L1607" s="1" t="str">
        <f>HYPERLINK("https://files.afu.se/Downloads/Transcripts/0%20-%20Government/USA%20-%20NASA%20Kennedy/2010 09 21 - NASA's Kennedy Space Center - Rollout of Discovery for STS-133, Its Final Mission_c5taj-wYhJI - transcript (automated).pdf","Transcript Link")</f>
        <v>Transcript Link</v>
      </c>
      <c r="M1607" s="2" t="str">
        <f>HYPERLINK("https://files.afu.se/Downloads/Transcripts/0%20-%20Government/USA%20-%20NASA%20Kennedy/2010 09 21 - NASA's Kennedy Space Center - Rollout of Discovery for STS-133, Its Final Mission_c5taj-wYhJI - transcript (automated).pdf","Transcript Link")</f>
        <v>Transcript Link</v>
      </c>
    </row>
    <row r="1608" ht="375" spans="1:13">
      <c r="A1608" s="1" t="s">
        <v>7257</v>
      </c>
      <c r="B1608" s="1" t="s">
        <v>13</v>
      </c>
      <c r="C1608" s="4" t="s">
        <v>7258</v>
      </c>
      <c r="D1608" s="1" t="s">
        <v>7259</v>
      </c>
      <c r="E1608" s="1" t="s">
        <v>7260</v>
      </c>
      <c r="F1608" s="4" t="s">
        <v>17</v>
      </c>
      <c r="G1608" s="1" t="s">
        <v>18</v>
      </c>
      <c r="H1608" s="1" t="s">
        <v>19</v>
      </c>
      <c r="I1608" s="1" t="s">
        <v>20</v>
      </c>
      <c r="J1608" s="1" t="s">
        <v>7261</v>
      </c>
      <c r="K1608" s="1" t="s">
        <v>22</v>
      </c>
      <c r="L1608" s="1" t="str">
        <f>HYPERLINK("https://files.afu.se/Downloads/Transcripts/0%20-%20Government/USA%20-%20NASA%20Kennedy/2010 09 17 - NASA's Kennedy Space Center - Alpha Magnetic Spectrometer at Kennedy Space Center_j5nJKp5Ar38 - transcript (automated).pdf","Transcript Link")</f>
        <v>Transcript Link</v>
      </c>
      <c r="M1608" s="2" t="str">
        <f>HYPERLINK("https://files.afu.se/Downloads/Transcripts/0%20-%20Government/USA%20-%20NASA%20Kennedy/2010 09 17 - NASA's Kennedy Space Center - Alpha Magnetic Spectrometer at Kennedy Space Center_j5nJKp5Ar38 - transcript (automated).pdf","Transcript Link")</f>
        <v>Transcript Link</v>
      </c>
    </row>
    <row r="1609" ht="240" spans="1:13">
      <c r="A1609" s="1" t="s">
        <v>7262</v>
      </c>
      <c r="B1609" s="1" t="s">
        <v>13</v>
      </c>
      <c r="C1609" s="4" t="s">
        <v>7263</v>
      </c>
      <c r="D1609" s="1" t="s">
        <v>7264</v>
      </c>
      <c r="E1609" s="1" t="s">
        <v>7265</v>
      </c>
      <c r="F1609" s="4" t="s">
        <v>17</v>
      </c>
      <c r="G1609" s="1" t="s">
        <v>18</v>
      </c>
      <c r="H1609" s="1" t="s">
        <v>19</v>
      </c>
      <c r="I1609" s="1" t="s">
        <v>20</v>
      </c>
      <c r="J1609" s="1" t="s">
        <v>7266</v>
      </c>
      <c r="K1609" s="1" t="s">
        <v>22</v>
      </c>
      <c r="L1609" s="1" t="str">
        <f>HYPERLINK("https://files.afu.se/Downloads/Transcripts/0%20-%20Government/USA%20-%20NASA%20Kennedy/2010 09 03 - NASA's Kennedy Space Center - Space Shuttle Era  Rollout_EqcFaR8aNCk - transcript (automated).pdf","Transcript Link")</f>
        <v>Transcript Link</v>
      </c>
      <c r="M1609" s="2" t="str">
        <f>HYPERLINK("https://files.afu.se/Downloads/Transcripts/0%20-%20Government/USA%20-%20NASA%20Kennedy/2010 09 03 - NASA's Kennedy Space Center - Space Shuttle Era  Rollout_EqcFaR8aNCk - transcript (automated).pdf","Transcript Link")</f>
        <v>Transcript Link</v>
      </c>
    </row>
    <row r="1610" ht="180" spans="1:13">
      <c r="A1610" s="1" t="s">
        <v>7267</v>
      </c>
      <c r="B1610" s="1" t="s">
        <v>13</v>
      </c>
      <c r="C1610" s="4" t="s">
        <v>7268</v>
      </c>
      <c r="D1610" s="1" t="s">
        <v>7269</v>
      </c>
      <c r="E1610" s="1" t="s">
        <v>7270</v>
      </c>
      <c r="F1610" s="4" t="s">
        <v>17</v>
      </c>
      <c r="G1610" s="1" t="s">
        <v>18</v>
      </c>
      <c r="H1610" s="1" t="s">
        <v>19</v>
      </c>
      <c r="I1610" s="1" t="s">
        <v>20</v>
      </c>
      <c r="J1610" s="1" t="s">
        <v>7271</v>
      </c>
      <c r="K1610" s="1" t="s">
        <v>22</v>
      </c>
      <c r="L1610" s="1" t="str">
        <f>HYPERLINK("https://files.afu.se/Downloads/Transcripts/0%20-%20Government/USA%20-%20NASA%20Kennedy/2010 09 01 - NASA's Kennedy Space Center - STS-133 Mission  Module to get a Home in Space_tBbBBN9Ageo - transcript (automated).pdf","Transcript Link")</f>
        <v>Transcript Link</v>
      </c>
      <c r="M1610" s="2" t="str">
        <f>HYPERLINK("https://files.afu.se/Downloads/Transcripts/0%20-%20Government/USA%20-%20NASA%20Kennedy/2010 09 01 - NASA's Kennedy Space Center - STS-133 Mission  Module to get a Home in Space_tBbBBN9Ageo - transcript (automated).pdf","Transcript Link")</f>
        <v>Transcript Link</v>
      </c>
    </row>
    <row r="1611" ht="315" spans="1:13">
      <c r="A1611" s="1" t="s">
        <v>7272</v>
      </c>
      <c r="B1611" s="1" t="s">
        <v>13</v>
      </c>
      <c r="C1611" s="4" t="s">
        <v>7273</v>
      </c>
      <c r="D1611" s="1" t="s">
        <v>7274</v>
      </c>
      <c r="E1611" s="1" t="s">
        <v>7275</v>
      </c>
      <c r="F1611" s="4" t="s">
        <v>17</v>
      </c>
      <c r="G1611" s="1" t="s">
        <v>18</v>
      </c>
      <c r="H1611" s="1" t="s">
        <v>19</v>
      </c>
      <c r="I1611" s="1" t="s">
        <v>20</v>
      </c>
      <c r="J1611" s="1" t="s">
        <v>7276</v>
      </c>
      <c r="K1611" s="1" t="s">
        <v>22</v>
      </c>
      <c r="L1611" s="1" t="str">
        <f>HYPERLINK("https://files.afu.se/Downloads/Transcripts/0%20-%20Government/USA%20-%20NASA%20Kennedy/2010 08 27 - NASA's Kennedy Space Center - STS-133 Mission  Robonaut 2 Getting Ready for Flight_JM1NpvhgeK8 - transcript (automated).pdf","Transcript Link")</f>
        <v>Transcript Link</v>
      </c>
      <c r="M1611" s="2" t="str">
        <f>HYPERLINK("https://files.afu.se/Downloads/Transcripts/0%20-%20Government/USA%20-%20NASA%20Kennedy/2010 08 27 - NASA's Kennedy Space Center - STS-133 Mission  Robonaut 2 Getting Ready for Flight_JM1NpvhgeK8 - transcript (automated).pdf","Transcript Link")</f>
        <v>Transcript Link</v>
      </c>
    </row>
    <row r="1612" ht="180" spans="1:13">
      <c r="A1612" s="1" t="s">
        <v>7277</v>
      </c>
      <c r="B1612" s="1" t="s">
        <v>13</v>
      </c>
      <c r="C1612" s="4" t="s">
        <v>7278</v>
      </c>
      <c r="D1612" s="1" t="s">
        <v>7279</v>
      </c>
      <c r="E1612" s="1" t="s">
        <v>5710</v>
      </c>
      <c r="F1612" s="4" t="s">
        <v>17</v>
      </c>
      <c r="G1612" s="1" t="s">
        <v>18</v>
      </c>
      <c r="H1612" s="1" t="s">
        <v>19</v>
      </c>
      <c r="I1612" s="1" t="s">
        <v>20</v>
      </c>
      <c r="J1612" s="1" t="s">
        <v>7280</v>
      </c>
      <c r="K1612" s="1" t="s">
        <v>22</v>
      </c>
      <c r="L1612" s="1" t="str">
        <f>HYPERLINK("https://files.afu.se/Downloads/Transcripts/0%20-%20Government/USA%20-%20NASA%20Kennedy/2010 08 24 - NASA's Kennedy Space Center - STS-133 Send-Off From Star Wars Celebration V by Adrianne Curry_LF30RR2RdvA - transcript (automated).pdf","Transcript Link")</f>
        <v>Transcript Link</v>
      </c>
      <c r="M1612" s="2" t="str">
        <f>HYPERLINK("https://files.afu.se/Downloads/Transcripts/0%20-%20Government/USA%20-%20NASA%20Kennedy/2010 08 24 - NASA's Kennedy Space Center - STS-133 Send-Off From Star Wars Celebration V by Adrianne Curry_LF30RR2RdvA - transcript (automated).pdf","Transcript Link")</f>
        <v>Transcript Link</v>
      </c>
    </row>
    <row r="1613" ht="180" spans="1:13">
      <c r="A1613" s="1" t="s">
        <v>7277</v>
      </c>
      <c r="B1613" s="1" t="s">
        <v>13</v>
      </c>
      <c r="C1613" s="4" t="s">
        <v>7281</v>
      </c>
      <c r="D1613" s="1" t="s">
        <v>7282</v>
      </c>
      <c r="E1613" s="1" t="s">
        <v>7283</v>
      </c>
      <c r="F1613" s="4" t="s">
        <v>17</v>
      </c>
      <c r="G1613" s="1" t="s">
        <v>18</v>
      </c>
      <c r="H1613" s="1" t="s">
        <v>19</v>
      </c>
      <c r="I1613" s="1" t="s">
        <v>20</v>
      </c>
      <c r="J1613" s="1" t="s">
        <v>7284</v>
      </c>
      <c r="K1613" s="1" t="s">
        <v>22</v>
      </c>
      <c r="L1613" s="1" t="str">
        <f>HYPERLINK("https://files.afu.se/Downloads/Transcripts/0%20-%20Government/USA%20-%20NASA%20Kennedy/2010 08 24 - NASA's Kennedy Space Center - NASA Goes to Star Wars Celebration V_fPJ1WL5ZThc - transcript (automated).pdf","Transcript Link")</f>
        <v>Transcript Link</v>
      </c>
      <c r="M1613" s="2" t="str">
        <f>HYPERLINK("https://files.afu.se/Downloads/Transcripts/0%20-%20Government/USA%20-%20NASA%20Kennedy/2010 08 24 - NASA's Kennedy Space Center - NASA Goes to Star Wars Celebration V_fPJ1WL5ZThc - transcript (automated).pdf","Transcript Link")</f>
        <v>Transcript Link</v>
      </c>
    </row>
    <row r="1614" ht="225" spans="1:13">
      <c r="A1614" s="1" t="s">
        <v>7285</v>
      </c>
      <c r="B1614" s="1" t="s">
        <v>13</v>
      </c>
      <c r="C1614" s="4" t="s">
        <v>7286</v>
      </c>
      <c r="D1614" s="1" t="s">
        <v>7287</v>
      </c>
      <c r="E1614" s="1" t="s">
        <v>7288</v>
      </c>
      <c r="F1614" s="4" t="s">
        <v>17</v>
      </c>
      <c r="G1614" s="1" t="s">
        <v>18</v>
      </c>
      <c r="H1614" s="1" t="s">
        <v>19</v>
      </c>
      <c r="I1614" s="1" t="s">
        <v>20</v>
      </c>
      <c r="J1614" s="1" t="s">
        <v>7289</v>
      </c>
      <c r="K1614" s="1" t="s">
        <v>22</v>
      </c>
      <c r="L1614" s="1" t="str">
        <f>HYPERLINK("https://files.afu.se/Downloads/Transcripts/0%20-%20Government/USA%20-%20NASA%20Kennedy/2010 08 18 - NASA's Kennedy Space Center - Space Shuttle Era  Crew Equipment Interface Test_tTteI1GUyL0 - transcript (automated).pdf","Transcript Link")</f>
        <v>Transcript Link</v>
      </c>
      <c r="M1614" s="2" t="str">
        <f>HYPERLINK("https://files.afu.se/Downloads/Transcripts/0%20-%20Government/USA%20-%20NASA%20Kennedy/2010 08 18 - NASA's Kennedy Space Center - Space Shuttle Era  Crew Equipment Interface Test_tTteI1GUyL0 - transcript (automated).pdf","Transcript Link")</f>
        <v>Transcript Link</v>
      </c>
    </row>
    <row r="1615" ht="195" spans="1:13">
      <c r="A1615" s="1" t="s">
        <v>7290</v>
      </c>
      <c r="B1615" s="1" t="s">
        <v>13</v>
      </c>
      <c r="C1615" s="4" t="s">
        <v>7291</v>
      </c>
      <c r="D1615" s="1" t="s">
        <v>7292</v>
      </c>
      <c r="E1615" s="1" t="s">
        <v>7293</v>
      </c>
      <c r="F1615" s="4" t="s">
        <v>17</v>
      </c>
      <c r="G1615" s="1" t="s">
        <v>18</v>
      </c>
      <c r="H1615" s="1" t="s">
        <v>19</v>
      </c>
      <c r="I1615" s="1" t="s">
        <v>20</v>
      </c>
      <c r="J1615" s="1" t="s">
        <v>7294</v>
      </c>
      <c r="K1615" s="1" t="s">
        <v>22</v>
      </c>
      <c r="L1615" s="1">
        <v>0</v>
      </c>
      <c r="M1615" s="2">
        <v>0</v>
      </c>
    </row>
    <row r="1616" ht="195" spans="1:13">
      <c r="A1616" s="1" t="s">
        <v>7295</v>
      </c>
      <c r="B1616" s="1" t="s">
        <v>13</v>
      </c>
      <c r="C1616" s="4" t="s">
        <v>7296</v>
      </c>
      <c r="D1616" s="1" t="s">
        <v>7297</v>
      </c>
      <c r="E1616" s="1" t="s">
        <v>7298</v>
      </c>
      <c r="F1616" s="4" t="s">
        <v>17</v>
      </c>
      <c r="G1616" s="1" t="s">
        <v>18</v>
      </c>
      <c r="H1616" s="1" t="s">
        <v>19</v>
      </c>
      <c r="I1616" s="1" t="s">
        <v>20</v>
      </c>
      <c r="J1616" s="1" t="s">
        <v>7299</v>
      </c>
      <c r="K1616" s="1" t="s">
        <v>22</v>
      </c>
      <c r="L1616" s="1" t="str">
        <f>HYPERLINK("https://files.afu.se/Downloads/Transcripts/0%20-%20Government/USA%20-%20NASA%20Kennedy/2010 07 21 - NASA's Kennedy Space Center - NASA Helps Sea Turtles Recover from the Oil Spill_aNtWCDDMTCo - transcript (automated).pdf","Transcript Link")</f>
        <v>Transcript Link</v>
      </c>
      <c r="M1616" s="2" t="str">
        <f>HYPERLINK("https://files.afu.se/Downloads/Transcripts/0%20-%20Government/USA%20-%20NASA%20Kennedy/2010 07 21 - NASA's Kennedy Space Center - NASA Helps Sea Turtles Recover from the Oil Spill_aNtWCDDMTCo - transcript (automated).pdf","Transcript Link")</f>
        <v>Transcript Link</v>
      </c>
    </row>
    <row r="1617" ht="195" spans="1:13">
      <c r="A1617" s="1" t="s">
        <v>7300</v>
      </c>
      <c r="B1617" s="1" t="s">
        <v>13</v>
      </c>
      <c r="C1617" s="4" t="s">
        <v>7301</v>
      </c>
      <c r="D1617" s="1" t="s">
        <v>7302</v>
      </c>
      <c r="E1617" s="1" t="s">
        <v>7303</v>
      </c>
      <c r="F1617" s="4" t="s">
        <v>17</v>
      </c>
      <c r="G1617" s="1" t="s">
        <v>18</v>
      </c>
      <c r="H1617" s="1" t="s">
        <v>19</v>
      </c>
      <c r="I1617" s="1" t="s">
        <v>20</v>
      </c>
      <c r="J1617" s="1" t="s">
        <v>7304</v>
      </c>
      <c r="K1617" s="1" t="s">
        <v>22</v>
      </c>
      <c r="L1617" s="1" t="str">
        <f>HYPERLINK("https://files.afu.se/Downloads/Transcripts/0%20-%20Government/USA%20-%20NASA%20Kennedy/2010 07 09 - NASA's Kennedy Space Center - Runway to Racetrack - NASA Hosts NASCAR Team_qM11-Qm5QOQ - transcript (automated).pdf","Transcript Link")</f>
        <v>Transcript Link</v>
      </c>
      <c r="M1617" s="2" t="str">
        <f>HYPERLINK("https://files.afu.se/Downloads/Transcripts/0%20-%20Government/USA%20-%20NASA%20Kennedy/2010 07 09 - NASA's Kennedy Space Center - Runway to Racetrack - NASA Hosts NASCAR Team_qM11-Qm5QOQ - transcript (automated).pdf","Transcript Link")</f>
        <v>Transcript Link</v>
      </c>
    </row>
    <row r="1618" ht="195" spans="1:13">
      <c r="A1618" s="1" t="s">
        <v>7305</v>
      </c>
      <c r="B1618" s="1" t="s">
        <v>13</v>
      </c>
      <c r="C1618" s="4" t="s">
        <v>7306</v>
      </c>
      <c r="D1618" s="1" t="s">
        <v>7307</v>
      </c>
      <c r="E1618" s="1" t="s">
        <v>7308</v>
      </c>
      <c r="F1618" s="4" t="s">
        <v>17</v>
      </c>
      <c r="G1618" s="1" t="s">
        <v>18</v>
      </c>
      <c r="H1618" s="1" t="s">
        <v>19</v>
      </c>
      <c r="I1618" s="1" t="s">
        <v>20</v>
      </c>
      <c r="J1618" s="1" t="s">
        <v>7309</v>
      </c>
      <c r="K1618" s="1" t="s">
        <v>22</v>
      </c>
      <c r="L1618" s="1" t="str">
        <f>HYPERLINK("https://files.afu.se/Downloads/Transcripts/0%20-%20Government/USA%20-%20NASA%20Kennedy/2010 07 07 - NASA's Kennedy Space Center - Space Shuttle Era  NASA's Shuttle Landing Facility_V5-qnbInLhI - transcript (automated).pdf","Transcript Link")</f>
        <v>Transcript Link</v>
      </c>
      <c r="M1618" s="2" t="str">
        <f>HYPERLINK("https://files.afu.se/Downloads/Transcripts/0%20-%20Government/USA%20-%20NASA%20Kennedy/2010 07 07 - NASA's Kennedy Space Center - Space Shuttle Era  NASA's Shuttle Landing Facility_V5-qnbInLhI - transcript (automated).pdf","Transcript Link")</f>
        <v>Transcript Link</v>
      </c>
    </row>
    <row r="1619" ht="360" spans="1:13">
      <c r="A1619" s="1" t="s">
        <v>7310</v>
      </c>
      <c r="B1619" s="1" t="s">
        <v>13</v>
      </c>
      <c r="C1619" s="4" t="s">
        <v>7311</v>
      </c>
      <c r="D1619" s="1" t="s">
        <v>7312</v>
      </c>
      <c r="E1619" s="1" t="s">
        <v>7313</v>
      </c>
      <c r="F1619" s="4" t="s">
        <v>17</v>
      </c>
      <c r="G1619" s="1" t="s">
        <v>18</v>
      </c>
      <c r="H1619" s="1" t="s">
        <v>19</v>
      </c>
      <c r="I1619" s="1" t="s">
        <v>20</v>
      </c>
      <c r="J1619" s="1" t="s">
        <v>7314</v>
      </c>
      <c r="K1619" s="1" t="s">
        <v>22</v>
      </c>
      <c r="L1619" s="1" t="str">
        <f>HYPERLINK("https://files.afu.se/Downloads/Transcripts/0%20-%20Government/USA%20-%20NASA%20Kennedy/2010 07 01 - NASA's Kennedy Space Center - Demolition of the Mercury Gemini Mission Control Center_zhvuXG8OVg8 - transcript (automated).pdf","Transcript Link")</f>
        <v>Transcript Link</v>
      </c>
      <c r="M1619" s="2" t="str">
        <f>HYPERLINK("https://files.afu.se/Downloads/Transcripts/0%20-%20Government/USA%20-%20NASA%20Kennedy/2010 07 01 - NASA's Kennedy Space Center - Demolition of the Mercury Gemini Mission Control Center_zhvuXG8OVg8 - transcript (automated).pdf","Transcript Link")</f>
        <v>Transcript Link</v>
      </c>
    </row>
    <row r="1620" ht="180" spans="1:13">
      <c r="A1620" s="1" t="s">
        <v>7315</v>
      </c>
      <c r="B1620" s="1" t="s">
        <v>13</v>
      </c>
      <c r="C1620" s="4" t="s">
        <v>7316</v>
      </c>
      <c r="D1620" s="1" t="s">
        <v>7317</v>
      </c>
      <c r="E1620" s="1" t="s">
        <v>7318</v>
      </c>
      <c r="F1620" s="4" t="s">
        <v>17</v>
      </c>
      <c r="G1620" s="1" t="s">
        <v>18</v>
      </c>
      <c r="H1620" s="1" t="s">
        <v>19</v>
      </c>
      <c r="I1620" s="1" t="s">
        <v>20</v>
      </c>
      <c r="J1620" s="1" t="s">
        <v>7319</v>
      </c>
      <c r="K1620" s="1" t="s">
        <v>22</v>
      </c>
      <c r="L1620" s="1" t="str">
        <f>HYPERLINK("https://files.afu.se/Downloads/Transcripts/0%20-%20Government/USA%20-%20NASA%20Kennedy/2010 06 24 - NASA's Kennedy Space Center - In Their Own Words  Astronaut Rick Mastracchio_qyeq0_9D8Wg - transcript (automated).pdf","Transcript Link")</f>
        <v>Transcript Link</v>
      </c>
      <c r="M1620" s="2" t="str">
        <f>HYPERLINK("https://files.afu.se/Downloads/Transcripts/0%20-%20Government/USA%20-%20NASA%20Kennedy/2010 06 24 - NASA's Kennedy Space Center - In Their Own Words  Astronaut Rick Mastracchio_qyeq0_9D8Wg - transcript (automated).pdf","Transcript Link")</f>
        <v>Transcript Link</v>
      </c>
    </row>
    <row r="1621" ht="180" spans="1:13">
      <c r="A1621" s="1" t="s">
        <v>7320</v>
      </c>
      <c r="B1621" s="1" t="s">
        <v>13</v>
      </c>
      <c r="C1621" s="4" t="s">
        <v>7321</v>
      </c>
      <c r="D1621" s="1" t="s">
        <v>7322</v>
      </c>
      <c r="E1621" s="1" t="s">
        <v>7323</v>
      </c>
      <c r="F1621" s="4" t="s">
        <v>17</v>
      </c>
      <c r="G1621" s="1" t="s">
        <v>18</v>
      </c>
      <c r="H1621" s="1" t="s">
        <v>19</v>
      </c>
      <c r="I1621" s="1" t="s">
        <v>20</v>
      </c>
      <c r="J1621" s="1" t="s">
        <v>7324</v>
      </c>
      <c r="K1621" s="1" t="s">
        <v>22</v>
      </c>
      <c r="L1621" s="1" t="str">
        <f>HYPERLINK("https://files.afu.se/Downloads/Transcripts/0%20-%20Government/USA%20-%20NASA%20Kennedy/2010 06 23 - NASA's Kennedy Space Center - In Their Own Words  Astronaut James P. Dutton_lWlIkqwOasE - transcript (automated).pdf","Transcript Link")</f>
        <v>Transcript Link</v>
      </c>
      <c r="M1621" s="2" t="str">
        <f>HYPERLINK("https://files.afu.se/Downloads/Transcripts/0%20-%20Government/USA%20-%20NASA%20Kennedy/2010 06 23 - NASA's Kennedy Space Center - In Their Own Words  Astronaut James P. Dutton_lWlIkqwOasE - transcript (automated).pdf","Transcript Link")</f>
        <v>Transcript Link</v>
      </c>
    </row>
    <row r="1622" ht="195" spans="1:13">
      <c r="A1622" s="1" t="s">
        <v>7325</v>
      </c>
      <c r="B1622" s="1" t="s">
        <v>13</v>
      </c>
      <c r="C1622" s="4" t="s">
        <v>7326</v>
      </c>
      <c r="D1622" s="1" t="s">
        <v>7327</v>
      </c>
      <c r="E1622" s="1" t="s">
        <v>7328</v>
      </c>
      <c r="F1622" s="4" t="s">
        <v>17</v>
      </c>
      <c r="G1622" s="1" t="s">
        <v>18</v>
      </c>
      <c r="H1622" s="1" t="s">
        <v>19</v>
      </c>
      <c r="I1622" s="1" t="s">
        <v>20</v>
      </c>
      <c r="J1622" s="1" t="s">
        <v>7329</v>
      </c>
      <c r="K1622" s="1" t="s">
        <v>22</v>
      </c>
      <c r="L1622" s="1" t="str">
        <f>HYPERLINK("https://files.afu.se/Downloads/Transcripts/0%20-%20Government/USA%20-%20NASA%20Kennedy/2010 06 03 - NASA's Kennedy Space Center - STS-132 Mission Overview_rwKI_DElY3c - transcript (automated).pdf","Transcript Link")</f>
        <v>Transcript Link</v>
      </c>
      <c r="M1622" s="2" t="str">
        <f>HYPERLINK("https://files.afu.se/Downloads/Transcripts/0%20-%20Government/USA%20-%20NASA%20Kennedy/2010 06 03 - NASA's Kennedy Space Center - STS-132 Mission Overview_rwKI_DElY3c - transcript (automated).pdf","Transcript Link")</f>
        <v>Transcript Link</v>
      </c>
    </row>
    <row r="1623" ht="180" spans="1:13">
      <c r="A1623" s="1" t="s">
        <v>7330</v>
      </c>
      <c r="B1623" s="1" t="s">
        <v>13</v>
      </c>
      <c r="C1623" s="4" t="s">
        <v>7331</v>
      </c>
      <c r="D1623" s="1" t="s">
        <v>7332</v>
      </c>
      <c r="E1623" s="1" t="s">
        <v>7333</v>
      </c>
      <c r="F1623" s="4" t="s">
        <v>17</v>
      </c>
      <c r="G1623" s="1" t="s">
        <v>18</v>
      </c>
      <c r="H1623" s="1" t="s">
        <v>19</v>
      </c>
      <c r="I1623" s="1" t="s">
        <v>20</v>
      </c>
      <c r="J1623" s="1" t="s">
        <v>7334</v>
      </c>
      <c r="K1623" s="1" t="s">
        <v>22</v>
      </c>
      <c r="L1623" s="1" t="str">
        <f>HYPERLINK("https://files.afu.se/Downloads/Transcripts/0%20-%20Government/USA%20-%20NASA%20Kennedy/2010 05 26 - NASA's Kennedy Space Center - STS-132 Landing Coverage  Go for Deorbit Burn_FlGRaYZPBC8 - transcript (automated).pdf","Transcript Link")</f>
        <v>Transcript Link</v>
      </c>
      <c r="M1623" s="2" t="str">
        <f>HYPERLINK("https://files.afu.se/Downloads/Transcripts/0%20-%20Government/USA%20-%20NASA%20Kennedy/2010 05 26 - NASA's Kennedy Space Center - STS-132 Landing Coverage  Go for Deorbit Burn_FlGRaYZPBC8 - transcript (automated).pdf","Transcript Link")</f>
        <v>Transcript Link</v>
      </c>
    </row>
    <row r="1624" ht="180" spans="1:13">
      <c r="A1624" s="1" t="s">
        <v>7330</v>
      </c>
      <c r="B1624" s="1" t="s">
        <v>13</v>
      </c>
      <c r="C1624" s="4" t="s">
        <v>7335</v>
      </c>
      <c r="D1624" s="1" t="s">
        <v>7336</v>
      </c>
      <c r="E1624" s="1" t="s">
        <v>7337</v>
      </c>
      <c r="F1624" s="4" t="s">
        <v>17</v>
      </c>
      <c r="G1624" s="1" t="s">
        <v>18</v>
      </c>
      <c r="H1624" s="1" t="s">
        <v>19</v>
      </c>
      <c r="I1624" s="1" t="s">
        <v>20</v>
      </c>
      <c r="J1624" s="1" t="s">
        <v>7338</v>
      </c>
      <c r="K1624" s="1" t="s">
        <v>22</v>
      </c>
      <c r="L1624" s="1" t="str">
        <f>HYPERLINK("https://files.afu.se/Downloads/Transcripts/0%20-%20Government/USA%20-%20NASA%20Kennedy/2010 05 26 - NASA's Kennedy Space Center - STS-132 landing  Crew Comments on Successful Mission_1DiOocDlesE - transcript (automated).pdf","Transcript Link")</f>
        <v>Transcript Link</v>
      </c>
      <c r="M1624" s="2" t="str">
        <f>HYPERLINK("https://files.afu.se/Downloads/Transcripts/0%20-%20Government/USA%20-%20NASA%20Kennedy/2010 05 26 - NASA's Kennedy Space Center - STS-132 landing  Crew Comments on Successful Mission_1DiOocDlesE - transcript (automated).pdf","Transcript Link")</f>
        <v>Transcript Link</v>
      </c>
    </row>
    <row r="1625" ht="180" spans="1:13">
      <c r="A1625" s="1" t="s">
        <v>7330</v>
      </c>
      <c r="B1625" s="1" t="s">
        <v>13</v>
      </c>
      <c r="C1625" s="4" t="s">
        <v>7339</v>
      </c>
      <c r="D1625" s="1" t="s">
        <v>7340</v>
      </c>
      <c r="E1625" s="1" t="s">
        <v>7341</v>
      </c>
      <c r="F1625" s="4" t="s">
        <v>17</v>
      </c>
      <c r="G1625" s="1" t="s">
        <v>18</v>
      </c>
      <c r="H1625" s="1" t="s">
        <v>19</v>
      </c>
      <c r="I1625" s="1" t="s">
        <v>20</v>
      </c>
      <c r="J1625" s="1" t="s">
        <v>7342</v>
      </c>
      <c r="K1625" s="1" t="s">
        <v>22</v>
      </c>
      <c r="L1625" s="1" t="str">
        <f>HYPERLINK("https://files.afu.se/Downloads/Transcripts/0%20-%20Government/USA%20-%20NASA%20Kennedy/2010 05 26 - NASA's Kennedy Space Center - STS-132  Atlantis Comes Home_hgByFMXYzIg - transcript (automated).pdf","Transcript Link")</f>
        <v>Transcript Link</v>
      </c>
      <c r="M1625" s="2" t="str">
        <f>HYPERLINK("https://files.afu.se/Downloads/Transcripts/0%20-%20Government/USA%20-%20NASA%20Kennedy/2010 05 26 - NASA's Kennedy Space Center - STS-132  Atlantis Comes Home_hgByFMXYzIg - transcript (automated).pdf","Transcript Link")</f>
        <v>Transcript Link</v>
      </c>
    </row>
    <row r="1626" ht="180" spans="1:13">
      <c r="A1626" s="1" t="s">
        <v>7343</v>
      </c>
      <c r="B1626" s="1" t="s">
        <v>13</v>
      </c>
      <c r="C1626" s="4" t="s">
        <v>7344</v>
      </c>
      <c r="D1626" s="1" t="s">
        <v>7345</v>
      </c>
      <c r="E1626" s="1" t="s">
        <v>7346</v>
      </c>
      <c r="F1626" s="4" t="s">
        <v>17</v>
      </c>
      <c r="G1626" s="1" t="s">
        <v>18</v>
      </c>
      <c r="H1626" s="1" t="s">
        <v>19</v>
      </c>
      <c r="I1626" s="1" t="s">
        <v>20</v>
      </c>
      <c r="J1626" s="1" t="s">
        <v>7347</v>
      </c>
      <c r="K1626" s="1" t="s">
        <v>22</v>
      </c>
      <c r="L1626" s="1" t="str">
        <f>HYPERLINK("https://files.afu.se/Downloads/Transcripts/0%20-%20Government/USA%20-%20NASA%20Kennedy/2010 05 14 - NASA's Kennedy Space Center - STS-132 Atlantis Launch Replays TV-7A_9khLHv5afIk - transcript (automated).pdf","Transcript Link")</f>
        <v>Transcript Link</v>
      </c>
      <c r="M1626" s="2" t="str">
        <f>HYPERLINK("https://files.afu.se/Downloads/Transcripts/0%20-%20Government/USA%20-%20NASA%20Kennedy/2010 05 14 - NASA's Kennedy Space Center - STS-132 Atlantis Launch Replays TV-7A_9khLHv5afIk - transcript (automated).pdf","Transcript Link")</f>
        <v>Transcript Link</v>
      </c>
    </row>
    <row r="1627" ht="180" spans="1:13">
      <c r="A1627" s="1" t="s">
        <v>7343</v>
      </c>
      <c r="B1627" s="1" t="s">
        <v>13</v>
      </c>
      <c r="C1627" s="4" t="s">
        <v>7348</v>
      </c>
      <c r="D1627" s="1" t="s">
        <v>7349</v>
      </c>
      <c r="E1627" s="1" t="s">
        <v>7346</v>
      </c>
      <c r="F1627" s="4" t="s">
        <v>17</v>
      </c>
      <c r="G1627" s="1" t="s">
        <v>18</v>
      </c>
      <c r="H1627" s="1" t="s">
        <v>19</v>
      </c>
      <c r="I1627" s="1" t="s">
        <v>20</v>
      </c>
      <c r="J1627" s="1" t="s">
        <v>7350</v>
      </c>
      <c r="K1627" s="1" t="s">
        <v>22</v>
      </c>
      <c r="L1627" s="1" t="str">
        <f>HYPERLINK("https://files.afu.se/Downloads/Transcripts/0%20-%20Government/USA%20-%20NASA%20Kennedy/2010 05 14 - NASA's Kennedy Space Center - STS-132 Atlantis Launch Replays TV-4A_tCgwgv18Pvo - transcript (automated).pdf","Transcript Link")</f>
        <v>Transcript Link</v>
      </c>
      <c r="M1627" s="2" t="str">
        <f>HYPERLINK("https://files.afu.se/Downloads/Transcripts/0%20-%20Government/USA%20-%20NASA%20Kennedy/2010 05 14 - NASA's Kennedy Space Center - STS-132 Atlantis Launch Replays TV-4A_tCgwgv18Pvo - transcript (automated).pdf","Transcript Link")</f>
        <v>Transcript Link</v>
      </c>
    </row>
    <row r="1628" ht="180" spans="1:13">
      <c r="A1628" s="1" t="s">
        <v>7343</v>
      </c>
      <c r="B1628" s="1" t="s">
        <v>13</v>
      </c>
      <c r="C1628" s="4" t="s">
        <v>7351</v>
      </c>
      <c r="D1628" s="1" t="s">
        <v>7352</v>
      </c>
      <c r="E1628" s="1" t="s">
        <v>5710</v>
      </c>
      <c r="F1628" s="4" t="s">
        <v>17</v>
      </c>
      <c r="G1628" s="1" t="s">
        <v>18</v>
      </c>
      <c r="H1628" s="1" t="s">
        <v>19</v>
      </c>
      <c r="I1628" s="1" t="s">
        <v>20</v>
      </c>
      <c r="J1628" s="1" t="s">
        <v>7353</v>
      </c>
      <c r="K1628" s="1" t="s">
        <v>22</v>
      </c>
      <c r="L1628" s="1" t="str">
        <f>HYPERLINK("https://files.afu.se/Downloads/Transcripts/0%20-%20Government/USA%20-%20NASA%20Kennedy/2010 05 14 - NASA's Kennedy Space Center - STS-132 Atlantis Launch Replays VAB Roof TV-5_a7LtxeTtSaM - transcript (automated).pdf","Transcript Link")</f>
        <v>Transcript Link</v>
      </c>
      <c r="M1628" s="2" t="str">
        <f>HYPERLINK("https://files.afu.se/Downloads/Transcripts/0%20-%20Government/USA%20-%20NASA%20Kennedy/2010 05 14 - NASA's Kennedy Space Center - STS-132 Atlantis Launch Replays VAB Roof TV-5_a7LtxeTtSaM - transcript (automated).pdf","Transcript Link")</f>
        <v>Transcript Link</v>
      </c>
    </row>
    <row r="1629" ht="180" spans="1:13">
      <c r="A1629" s="1" t="s">
        <v>7343</v>
      </c>
      <c r="B1629" s="1" t="s">
        <v>13</v>
      </c>
      <c r="C1629" s="4" t="s">
        <v>7354</v>
      </c>
      <c r="D1629" s="1" t="s">
        <v>7355</v>
      </c>
      <c r="E1629" s="1" t="s">
        <v>7356</v>
      </c>
      <c r="F1629" s="4" t="s">
        <v>17</v>
      </c>
      <c r="G1629" s="1" t="s">
        <v>18</v>
      </c>
      <c r="H1629" s="1" t="s">
        <v>19</v>
      </c>
      <c r="I1629" s="1" t="s">
        <v>20</v>
      </c>
      <c r="J1629" s="1" t="s">
        <v>7357</v>
      </c>
      <c r="K1629" s="1" t="s">
        <v>22</v>
      </c>
      <c r="L1629" s="1" t="str">
        <f>HYPERLINK("https://files.afu.se/Downloads/Transcripts/0%20-%20Government/USA%20-%20NASA%20Kennedy/2010 05 14 - NASA's Kennedy Space Center - Tribute to space shuttle Atlantis  STS-132_-ANFaNFP0nw - transcript (automated).pdf","Transcript Link")</f>
        <v>Transcript Link</v>
      </c>
      <c r="M1629" s="2" t="str">
        <f>HYPERLINK("https://files.afu.se/Downloads/Transcripts/0%20-%20Government/USA%20-%20NASA%20Kennedy/2010 05 14 - NASA's Kennedy Space Center - Tribute to space shuttle Atlantis  STS-132_-ANFaNFP0nw - transcript (automated).pdf","Transcript Link")</f>
        <v>Transcript Link</v>
      </c>
    </row>
    <row r="1630" ht="180" spans="1:13">
      <c r="A1630" s="1" t="s">
        <v>7343</v>
      </c>
      <c r="B1630" s="1" t="s">
        <v>13</v>
      </c>
      <c r="C1630" s="4" t="s">
        <v>7358</v>
      </c>
      <c r="D1630" s="1" t="s">
        <v>7359</v>
      </c>
      <c r="E1630" s="1" t="s">
        <v>7360</v>
      </c>
      <c r="F1630" s="4" t="s">
        <v>17</v>
      </c>
      <c r="G1630" s="1" t="s">
        <v>18</v>
      </c>
      <c r="H1630" s="1" t="s">
        <v>19</v>
      </c>
      <c r="I1630" s="1" t="s">
        <v>20</v>
      </c>
      <c r="J1630" s="1" t="s">
        <v>7361</v>
      </c>
      <c r="K1630" s="1" t="s">
        <v>22</v>
      </c>
      <c r="L1630" s="1" t="str">
        <f>HYPERLINK("https://files.afu.se/Downloads/Transcripts/0%20-%20Government/USA%20-%20NASA%20Kennedy/2010 05 14 - NASA's Kennedy Space Center - STS-132 External Tank Jettison_HuZ8CWuS8iY - transcript (automated).pdf","Transcript Link")</f>
        <v>Transcript Link</v>
      </c>
      <c r="M1630" s="2" t="str">
        <f>HYPERLINK("https://files.afu.se/Downloads/Transcripts/0%20-%20Government/USA%20-%20NASA%20Kennedy/2010 05 14 - NASA's Kennedy Space Center - STS-132 External Tank Jettison_HuZ8CWuS8iY - transcript (automated).pdf","Transcript Link")</f>
        <v>Transcript Link</v>
      </c>
    </row>
    <row r="1631" ht="180" spans="1:13">
      <c r="A1631" s="1" t="s">
        <v>7343</v>
      </c>
      <c r="B1631" s="1" t="s">
        <v>13</v>
      </c>
      <c r="C1631" s="4" t="s">
        <v>7362</v>
      </c>
      <c r="D1631" s="1" t="s">
        <v>7363</v>
      </c>
      <c r="E1631" s="1" t="s">
        <v>7364</v>
      </c>
      <c r="F1631" s="4" t="s">
        <v>17</v>
      </c>
      <c r="G1631" s="1" t="s">
        <v>18</v>
      </c>
      <c r="H1631" s="1" t="s">
        <v>19</v>
      </c>
      <c r="I1631" s="1" t="s">
        <v>20</v>
      </c>
      <c r="J1631" s="1" t="s">
        <v>7365</v>
      </c>
      <c r="K1631" s="1" t="s">
        <v>22</v>
      </c>
      <c r="L1631" s="1" t="str">
        <f>HYPERLINK("https://files.afu.se/Downloads/Transcripts/0%20-%20Government/USA%20-%20NASA%20Kennedy/2010 05 14 - NASA's Kennedy Space Center - STS-132 Launch Director Send Off to Crew_MDc7E25pYBw - transcript (automated).pdf","Transcript Link")</f>
        <v>Transcript Link</v>
      </c>
      <c r="M1631" s="2" t="str">
        <f>HYPERLINK("https://files.afu.se/Downloads/Transcripts/0%20-%20Government/USA%20-%20NASA%20Kennedy/2010 05 14 - NASA's Kennedy Space Center - STS-132 Launch Director Send Off to Crew_MDc7E25pYBw - transcript (automated).pdf","Transcript Link")</f>
        <v>Transcript Link</v>
      </c>
    </row>
    <row r="1632" ht="180" spans="1:13">
      <c r="A1632" s="1" t="s">
        <v>7343</v>
      </c>
      <c r="B1632" s="1" t="s">
        <v>13</v>
      </c>
      <c r="C1632" s="4" t="s">
        <v>7366</v>
      </c>
      <c r="D1632" s="1" t="s">
        <v>7367</v>
      </c>
      <c r="E1632" s="1" t="s">
        <v>7368</v>
      </c>
      <c r="F1632" s="4" t="s">
        <v>17</v>
      </c>
      <c r="G1632" s="1" t="s">
        <v>18</v>
      </c>
      <c r="H1632" s="1" t="s">
        <v>19</v>
      </c>
      <c r="I1632" s="1" t="s">
        <v>20</v>
      </c>
      <c r="J1632" s="1" t="s">
        <v>7369</v>
      </c>
      <c r="K1632" s="1" t="s">
        <v>22</v>
      </c>
      <c r="L1632" s="1" t="str">
        <f>HYPERLINK("https://files.afu.se/Downloads/Transcripts/0%20-%20Government/USA%20-%20NASA%20Kennedy/2010 05 14 - NASA's Kennedy Space Center - STS-132  Crew Climbs Aboard Atlantis_DSNyl7zCKgQ - transcript (automated).pdf","Transcript Link")</f>
        <v>Transcript Link</v>
      </c>
      <c r="M1632" s="2" t="str">
        <f>HYPERLINK("https://files.afu.se/Downloads/Transcripts/0%20-%20Government/USA%20-%20NASA%20Kennedy/2010 05 14 - NASA's Kennedy Space Center - STS-132  Crew Climbs Aboard Atlantis_DSNyl7zCKgQ - transcript (automated).pdf","Transcript Link")</f>
        <v>Transcript Link</v>
      </c>
    </row>
    <row r="1633" ht="180" spans="1:13">
      <c r="A1633" s="1" t="s">
        <v>7343</v>
      </c>
      <c r="B1633" s="1" t="s">
        <v>13</v>
      </c>
      <c r="C1633" s="4" t="s">
        <v>7370</v>
      </c>
      <c r="D1633" s="1" t="s">
        <v>7371</v>
      </c>
      <c r="E1633" s="1" t="s">
        <v>7372</v>
      </c>
      <c r="F1633" s="4" t="s">
        <v>17</v>
      </c>
      <c r="G1633" s="1" t="s">
        <v>18</v>
      </c>
      <c r="H1633" s="1" t="s">
        <v>19</v>
      </c>
      <c r="I1633" s="1" t="s">
        <v>20</v>
      </c>
      <c r="J1633" s="1" t="s">
        <v>7373</v>
      </c>
      <c r="K1633" s="1" t="s">
        <v>22</v>
      </c>
      <c r="L1633" s="1" t="str">
        <f>HYPERLINK("https://files.afu.se/Downloads/Transcripts/0%20-%20Government/USA%20-%20NASA%20Kennedy/2010 05 14 - NASA's Kennedy Space Center - STS-132 launch  Liftoff Atlantis!_R5HMefvGXG0 - transcript (automated).pdf","Transcript Link")</f>
        <v>Transcript Link</v>
      </c>
      <c r="M1633" s="2" t="str">
        <f>HYPERLINK("https://files.afu.se/Downloads/Transcripts/0%20-%20Government/USA%20-%20NASA%20Kennedy/2010 05 14 - NASA's Kennedy Space Center - STS-132 launch  Liftoff Atlantis!_R5HMefvGXG0 - transcript (automated).pdf","Transcript Link")</f>
        <v>Transcript Link</v>
      </c>
    </row>
    <row r="1634" ht="180" spans="1:13">
      <c r="A1634" s="1" t="s">
        <v>7343</v>
      </c>
      <c r="B1634" s="1" t="s">
        <v>13</v>
      </c>
      <c r="C1634" s="4" t="s">
        <v>7374</v>
      </c>
      <c r="D1634" s="1" t="s">
        <v>7375</v>
      </c>
      <c r="E1634" s="1" t="s">
        <v>7376</v>
      </c>
      <c r="F1634" s="4" t="s">
        <v>17</v>
      </c>
      <c r="G1634" s="1" t="s">
        <v>18</v>
      </c>
      <c r="H1634" s="1" t="s">
        <v>19</v>
      </c>
      <c r="I1634" s="1" t="s">
        <v>20</v>
      </c>
      <c r="J1634" s="1" t="s">
        <v>7377</v>
      </c>
      <c r="K1634" s="1" t="s">
        <v>22</v>
      </c>
      <c r="L1634" s="1" t="str">
        <f>HYPERLINK("https://files.afu.se/Downloads/Transcripts/0%20-%20Government/USA%20-%20NASA%20Kennedy/2010 05 14 - NASA's Kennedy Space Center - STS-132 Suitup and Walkout_3pyaNyH64V4 - transcript (automated).pdf","Transcript Link")</f>
        <v>Transcript Link</v>
      </c>
      <c r="M1634" s="2" t="str">
        <f>HYPERLINK("https://files.afu.se/Downloads/Transcripts/0%20-%20Government/USA%20-%20NASA%20Kennedy/2010 05 14 - NASA's Kennedy Space Center - STS-132 Suitup and Walkout_3pyaNyH64V4 - transcript (automated).pdf","Transcript Link")</f>
        <v>Transcript Link</v>
      </c>
    </row>
    <row r="1635" ht="180" spans="1:13">
      <c r="A1635" s="1" t="s">
        <v>7343</v>
      </c>
      <c r="B1635" s="1" t="s">
        <v>13</v>
      </c>
      <c r="C1635" s="4" t="s">
        <v>7378</v>
      </c>
      <c r="D1635" s="1" t="s">
        <v>7379</v>
      </c>
      <c r="E1635" s="1" t="s">
        <v>7380</v>
      </c>
      <c r="F1635" s="4" t="s">
        <v>17</v>
      </c>
      <c r="G1635" s="1" t="s">
        <v>18</v>
      </c>
      <c r="H1635" s="1" t="s">
        <v>19</v>
      </c>
      <c r="I1635" s="1" t="s">
        <v>20</v>
      </c>
      <c r="J1635" s="1" t="s">
        <v>7381</v>
      </c>
      <c r="K1635" s="1" t="s">
        <v>22</v>
      </c>
      <c r="L1635" s="1" t="str">
        <f>HYPERLINK("https://files.afu.se/Downloads/Transcripts/0%20-%20Government/USA%20-%20NASA%20Kennedy/2010 05 14 - NASA's Kennedy Space Center - STS-132 Launch Countdown Coverage Begins_Rh-t30jPenk - transcript (automated).pdf","Transcript Link")</f>
        <v>Transcript Link</v>
      </c>
      <c r="M1635" s="2" t="str">
        <f>HYPERLINK("https://files.afu.se/Downloads/Transcripts/0%20-%20Government/USA%20-%20NASA%20Kennedy/2010 05 14 - NASA's Kennedy Space Center - STS-132 Launch Countdown Coverage Begins_Rh-t30jPenk - transcript (automated).pdf","Transcript Link")</f>
        <v>Transcript Link</v>
      </c>
    </row>
    <row r="1636" ht="180" spans="1:13">
      <c r="A1636" s="1" t="s">
        <v>7382</v>
      </c>
      <c r="B1636" s="1" t="s">
        <v>13</v>
      </c>
      <c r="C1636" s="4" t="s">
        <v>7383</v>
      </c>
      <c r="D1636" s="1" t="s">
        <v>7384</v>
      </c>
      <c r="E1636" s="1" t="s">
        <v>7385</v>
      </c>
      <c r="F1636" s="4" t="s">
        <v>17</v>
      </c>
      <c r="G1636" s="1" t="s">
        <v>18</v>
      </c>
      <c r="H1636" s="1" t="s">
        <v>19</v>
      </c>
      <c r="I1636" s="1" t="s">
        <v>20</v>
      </c>
      <c r="J1636" s="1" t="s">
        <v>7386</v>
      </c>
      <c r="K1636" s="1" t="s">
        <v>22</v>
      </c>
      <c r="L1636" s="1" t="str">
        <f>HYPERLINK("https://files.afu.se/Downloads/Transcripts/0%20-%20Government/USA%20-%20NASA%20Kennedy/2010 05 12 - NASA's Kennedy Space Center - The Legacy of Space Shuttle Atlantis_Qkk6ufuagSA - transcript (automated).pdf","Transcript Link")</f>
        <v>Transcript Link</v>
      </c>
      <c r="M1636" s="2" t="str">
        <f>HYPERLINK("https://files.afu.se/Downloads/Transcripts/0%20-%20Government/USA%20-%20NASA%20Kennedy/2010 05 12 - NASA's Kennedy Space Center - The Legacy of Space Shuttle Atlantis_Qkk6ufuagSA - transcript (automated).pdf","Transcript Link")</f>
        <v>Transcript Link</v>
      </c>
    </row>
    <row r="1637" ht="180" spans="1:13">
      <c r="A1637" s="1" t="s">
        <v>7387</v>
      </c>
      <c r="B1637" s="1" t="s">
        <v>13</v>
      </c>
      <c r="C1637" s="4" t="s">
        <v>7388</v>
      </c>
      <c r="D1637" s="1" t="s">
        <v>7389</v>
      </c>
      <c r="E1637" s="1" t="s">
        <v>7390</v>
      </c>
      <c r="F1637" s="4" t="s">
        <v>17</v>
      </c>
      <c r="G1637" s="1" t="s">
        <v>18</v>
      </c>
      <c r="H1637" s="1" t="s">
        <v>19</v>
      </c>
      <c r="I1637" s="1" t="s">
        <v>20</v>
      </c>
      <c r="J1637" s="1" t="s">
        <v>7391</v>
      </c>
      <c r="K1637" s="1" t="s">
        <v>22</v>
      </c>
      <c r="L1637" s="1" t="str">
        <f>HYPERLINK("https://files.afu.se/Downloads/Transcripts/0%20-%20Government/USA%20-%20NASA%20Kennedy/2010 04 27 - NASA's Kennedy Space Center - STS-131 Mission Overview  Fortifying the Space Station_WMRSGhqk594 - transcript (automated).pdf","Transcript Link")</f>
        <v>Transcript Link</v>
      </c>
      <c r="M1637" s="2" t="str">
        <f>HYPERLINK("https://files.afu.se/Downloads/Transcripts/0%20-%20Government/USA%20-%20NASA%20Kennedy/2010 04 27 - NASA's Kennedy Space Center - STS-131 Mission Overview  Fortifying the Space Station_WMRSGhqk594 - transcript (automated).pdf","Transcript Link")</f>
        <v>Transcript Link</v>
      </c>
    </row>
    <row r="1638" ht="180" spans="1:13">
      <c r="A1638" s="1" t="s">
        <v>7387</v>
      </c>
      <c r="B1638" s="1" t="s">
        <v>13</v>
      </c>
      <c r="C1638" s="4" t="s">
        <v>7392</v>
      </c>
      <c r="D1638" s="1" t="s">
        <v>7393</v>
      </c>
      <c r="E1638" s="1" t="s">
        <v>7394</v>
      </c>
      <c r="F1638" s="4" t="s">
        <v>17</v>
      </c>
      <c r="G1638" s="1" t="s">
        <v>18</v>
      </c>
      <c r="H1638" s="1" t="s">
        <v>19</v>
      </c>
      <c r="I1638" s="1" t="s">
        <v>20</v>
      </c>
      <c r="J1638" s="1" t="s">
        <v>7395</v>
      </c>
      <c r="K1638" s="1" t="s">
        <v>22</v>
      </c>
      <c r="L1638" s="1" t="str">
        <f>HYPERLINK("https://files.afu.se/Downloads/Transcripts/0%20-%20Government/USA%20-%20NASA%20Kennedy/2010 04 27 - NASA's Kennedy Space Center - STS-132 Crew's Dress Rehearsal For Launch or TCDT_o15VJUBriI4 - transcript (automated).pdf","Transcript Link")</f>
        <v>Transcript Link</v>
      </c>
      <c r="M1638" s="2" t="str">
        <f>HYPERLINK("https://files.afu.se/Downloads/Transcripts/0%20-%20Government/USA%20-%20NASA%20Kennedy/2010 04 27 - NASA's Kennedy Space Center - STS-132 Crew's Dress Rehearsal For Launch or TCDT_o15VJUBriI4 - transcript (automated).pdf","Transcript Link")</f>
        <v>Transcript Link</v>
      </c>
    </row>
    <row r="1639" ht="180" spans="1:13">
      <c r="A1639" s="1" t="s">
        <v>7396</v>
      </c>
      <c r="B1639" s="1" t="s">
        <v>13</v>
      </c>
      <c r="C1639" s="4" t="s">
        <v>7397</v>
      </c>
      <c r="D1639" s="1" t="s">
        <v>7398</v>
      </c>
      <c r="E1639" s="1" t="s">
        <v>7399</v>
      </c>
      <c r="F1639" s="4" t="s">
        <v>17</v>
      </c>
      <c r="G1639" s="1" t="s">
        <v>18</v>
      </c>
      <c r="H1639" s="1" t="s">
        <v>19</v>
      </c>
      <c r="I1639" s="1" t="s">
        <v>20</v>
      </c>
      <c r="J1639" s="1" t="s">
        <v>7400</v>
      </c>
      <c r="K1639" s="1" t="s">
        <v>22</v>
      </c>
      <c r="L1639" s="1" t="str">
        <f>HYPERLINK("https://files.afu.se/Downloads/Transcripts/0%20-%20Government/USA%20-%20NASA%20Kennedy/2010 04 23 - NASA's Kennedy Space Center - STS-132 Rollout_BpL2GbtmDT4 - transcript (automated).pdf","Transcript Link")</f>
        <v>Transcript Link</v>
      </c>
      <c r="M1639" s="2" t="str">
        <f>HYPERLINK("https://files.afu.se/Downloads/Transcripts/0%20-%20Government/USA%20-%20NASA%20Kennedy/2010 04 23 - NASA's Kennedy Space Center - STS-132 Rollout_BpL2GbtmDT4 - transcript (automated).pdf","Transcript Link")</f>
        <v>Transcript Link</v>
      </c>
    </row>
    <row r="1640" ht="195" spans="1:13">
      <c r="A1640" s="1" t="s">
        <v>7396</v>
      </c>
      <c r="B1640" s="1" t="s">
        <v>13</v>
      </c>
      <c r="C1640" s="4" t="s">
        <v>7401</v>
      </c>
      <c r="D1640" s="1" t="s">
        <v>7402</v>
      </c>
      <c r="E1640" s="1" t="s">
        <v>7403</v>
      </c>
      <c r="F1640" s="4" t="s">
        <v>17</v>
      </c>
      <c r="G1640" s="1" t="s">
        <v>18</v>
      </c>
      <c r="H1640" s="1" t="s">
        <v>19</v>
      </c>
      <c r="I1640" s="1" t="s">
        <v>20</v>
      </c>
      <c r="J1640" s="1" t="s">
        <v>7404</v>
      </c>
      <c r="K1640" s="1" t="s">
        <v>22</v>
      </c>
      <c r="L1640" s="1" t="str">
        <f>HYPERLINK("https://files.afu.se/Downloads/Transcripts/0%20-%20Government/USA%20-%20NASA%20Kennedy/2010 04 23 - NASA's Kennedy Space Center - Hubble Celebrates 20 Years_zKkRuLNypX0 - transcript (automated).pdf","Transcript Link")</f>
        <v>Transcript Link</v>
      </c>
      <c r="M1640" s="2" t="str">
        <f>HYPERLINK("https://files.afu.se/Downloads/Transcripts/0%20-%20Government/USA%20-%20NASA%20Kennedy/2010 04 23 - NASA's Kennedy Space Center - Hubble Celebrates 20 Years_zKkRuLNypX0 - transcript (automated).pdf","Transcript Link")</f>
        <v>Transcript Link</v>
      </c>
    </row>
    <row r="1641" ht="225" spans="1:13">
      <c r="A1641" s="1" t="s">
        <v>7405</v>
      </c>
      <c r="B1641" s="1" t="s">
        <v>13</v>
      </c>
      <c r="C1641" s="4" t="s">
        <v>7406</v>
      </c>
      <c r="D1641" s="1" t="s">
        <v>7407</v>
      </c>
      <c r="E1641" s="1" t="s">
        <v>7408</v>
      </c>
      <c r="F1641" s="4" t="s">
        <v>17</v>
      </c>
      <c r="G1641" s="1" t="s">
        <v>18</v>
      </c>
      <c r="H1641" s="1" t="s">
        <v>19</v>
      </c>
      <c r="I1641" s="1" t="s">
        <v>20</v>
      </c>
      <c r="J1641" s="1" t="s">
        <v>7409</v>
      </c>
      <c r="K1641" s="1" t="s">
        <v>22</v>
      </c>
      <c r="L1641" s="1" t="str">
        <f>HYPERLINK("https://files.afu.se/Downloads/Transcripts/0%20-%20Government/USA%20-%20NASA%20Kennedy/2010 04 20 - NASA's Kennedy Space Center - STS-131 Landing  Mission Conclusion with Crew Comments_vuzCiuOIzMc - transcript (automated).pdf","Transcript Link")</f>
        <v>Transcript Link</v>
      </c>
      <c r="M1641" s="2" t="str">
        <f>HYPERLINK("https://files.afu.se/Downloads/Transcripts/0%20-%20Government/USA%20-%20NASA%20Kennedy/2010 04 20 - NASA's Kennedy Space Center - STS-131 Landing  Mission Conclusion with Crew Comments_vuzCiuOIzMc - transcript (automated).pdf","Transcript Link")</f>
        <v>Transcript Link</v>
      </c>
    </row>
    <row r="1642" ht="180" spans="1:13">
      <c r="A1642" s="1" t="s">
        <v>7405</v>
      </c>
      <c r="B1642" s="1" t="s">
        <v>13</v>
      </c>
      <c r="C1642" s="4" t="s">
        <v>7410</v>
      </c>
      <c r="D1642" s="1" t="s">
        <v>7411</v>
      </c>
      <c r="E1642" s="1" t="s">
        <v>7412</v>
      </c>
      <c r="F1642" s="4" t="s">
        <v>17</v>
      </c>
      <c r="G1642" s="1" t="s">
        <v>18</v>
      </c>
      <c r="H1642" s="1" t="s">
        <v>19</v>
      </c>
      <c r="I1642" s="1" t="s">
        <v>20</v>
      </c>
      <c r="J1642" s="1" t="s">
        <v>7413</v>
      </c>
      <c r="K1642" s="1" t="s">
        <v>22</v>
      </c>
      <c r="L1642" s="1" t="str">
        <f>HYPERLINK("https://files.afu.se/Downloads/Transcripts/0%20-%20Government/USA%20-%20NASA%20Kennedy/2010 04 20 - NASA's Kennedy Space Center - STS-131 Landing_Bsm8iImlStU - transcript (automated).pdf","Transcript Link")</f>
        <v>Transcript Link</v>
      </c>
      <c r="M1642" s="2" t="str">
        <f>HYPERLINK("https://files.afu.se/Downloads/Transcripts/0%20-%20Government/USA%20-%20NASA%20Kennedy/2010 04 20 - NASA's Kennedy Space Center - STS-131 Landing_Bsm8iImlStU - transcript (automated).pdf","Transcript Link")</f>
        <v>Transcript Link</v>
      </c>
    </row>
    <row r="1643" ht="180" spans="1:13">
      <c r="A1643" s="1" t="s">
        <v>7405</v>
      </c>
      <c r="B1643" s="1" t="s">
        <v>13</v>
      </c>
      <c r="C1643" s="4" t="s">
        <v>7414</v>
      </c>
      <c r="D1643" s="1" t="s">
        <v>7415</v>
      </c>
      <c r="E1643" s="1" t="s">
        <v>7416</v>
      </c>
      <c r="F1643" s="4" t="s">
        <v>17</v>
      </c>
      <c r="G1643" s="1" t="s">
        <v>18</v>
      </c>
      <c r="H1643" s="1" t="s">
        <v>19</v>
      </c>
      <c r="I1643" s="1" t="s">
        <v>20</v>
      </c>
      <c r="J1643" s="1" t="s">
        <v>7417</v>
      </c>
      <c r="K1643" s="1" t="s">
        <v>22</v>
      </c>
      <c r="L1643" s="1" t="str">
        <f>HYPERLINK("https://files.afu.se/Downloads/Transcripts/0%20-%20Government/USA%20-%20NASA%20Kennedy/2010 04 20 - NASA's Kennedy Space Center - STS-131 Go For Deorbit Burn_-nMEfpGLIOo - transcript (automated).pdf","Transcript Link")</f>
        <v>Transcript Link</v>
      </c>
      <c r="M1643" s="2" t="str">
        <f>HYPERLINK("https://files.afu.se/Downloads/Transcripts/0%20-%20Government/USA%20-%20NASA%20Kennedy/2010 04 20 - NASA's Kennedy Space Center - STS-131 Go For Deorbit Burn_-nMEfpGLIOo - transcript (automated).pdf","Transcript Link")</f>
        <v>Transcript Link</v>
      </c>
    </row>
    <row r="1644" ht="180" spans="1:13">
      <c r="A1644" s="1" t="s">
        <v>7418</v>
      </c>
      <c r="B1644" s="1" t="s">
        <v>13</v>
      </c>
      <c r="C1644" s="4" t="s">
        <v>7419</v>
      </c>
      <c r="D1644" s="1" t="s">
        <v>7420</v>
      </c>
      <c r="E1644" s="1" t="s">
        <v>7421</v>
      </c>
      <c r="F1644" s="4" t="s">
        <v>17</v>
      </c>
      <c r="G1644" s="1" t="s">
        <v>18</v>
      </c>
      <c r="H1644" s="1" t="s">
        <v>19</v>
      </c>
      <c r="I1644" s="1" t="s">
        <v>20</v>
      </c>
      <c r="J1644" s="1" t="s">
        <v>7422</v>
      </c>
      <c r="K1644" s="1" t="s">
        <v>22</v>
      </c>
      <c r="L1644" s="1" t="str">
        <f>HYPERLINK("https://files.afu.se/Downloads/Transcripts/0%20-%20Government/USA%20-%20NASA%20Kennedy/2010 04 19 - NASA's Kennedy Space Center - STS-131 Landing Waveoff_EmNJDpEr7K8 - transcript (automated).pdf","Transcript Link")</f>
        <v>Transcript Link</v>
      </c>
      <c r="M1644" s="2" t="str">
        <f>HYPERLINK("https://files.afu.se/Downloads/Transcripts/0%20-%20Government/USA%20-%20NASA%20Kennedy/2010 04 19 - NASA's Kennedy Space Center - STS-131 Landing Waveoff_EmNJDpEr7K8 - transcript (automated).pdf","Transcript Link")</f>
        <v>Transcript Link</v>
      </c>
    </row>
    <row r="1645" ht="180" spans="1:13">
      <c r="A1645" s="1" t="s">
        <v>7423</v>
      </c>
      <c r="B1645" s="1" t="s">
        <v>13</v>
      </c>
      <c r="C1645" s="4" t="s">
        <v>7424</v>
      </c>
      <c r="D1645" s="1" t="s">
        <v>7425</v>
      </c>
      <c r="E1645" s="1" t="s">
        <v>7426</v>
      </c>
      <c r="F1645" s="4" t="s">
        <v>17</v>
      </c>
      <c r="G1645" s="1" t="s">
        <v>18</v>
      </c>
      <c r="H1645" s="1" t="s">
        <v>19</v>
      </c>
      <c r="I1645" s="1" t="s">
        <v>20</v>
      </c>
      <c r="J1645" s="1" t="s">
        <v>7427</v>
      </c>
      <c r="K1645" s="1" t="s">
        <v>22</v>
      </c>
      <c r="L1645" s="1" t="str">
        <f>HYPERLINK("https://files.afu.se/Downloads/Transcripts/0%20-%20Government/USA%20-%20NASA%20Kennedy/2010 04 15 - NASA's Kennedy Space Center - President Barack Obama Departs from the Kennedy Space Center_B0QYvV3B1n0 - transcript (automated).pdf","Transcript Link")</f>
        <v>Transcript Link</v>
      </c>
      <c r="M1645" s="2" t="str">
        <f>HYPERLINK("https://files.afu.se/Downloads/Transcripts/0%20-%20Government/USA%20-%20NASA%20Kennedy/2010 04 15 - NASA's Kennedy Space Center - President Barack Obama Departs from the Kennedy Space Center_B0QYvV3B1n0 - transcript (automated).pdf","Transcript Link")</f>
        <v>Transcript Link</v>
      </c>
    </row>
    <row r="1646" ht="180" spans="1:13">
      <c r="A1646" s="1" t="s">
        <v>7423</v>
      </c>
      <c r="B1646" s="1" t="s">
        <v>13</v>
      </c>
      <c r="C1646" s="4" t="s">
        <v>7428</v>
      </c>
      <c r="D1646" s="1" t="s">
        <v>7429</v>
      </c>
      <c r="E1646" s="1" t="s">
        <v>7430</v>
      </c>
      <c r="F1646" s="4" t="s">
        <v>17</v>
      </c>
      <c r="G1646" s="1" t="s">
        <v>18</v>
      </c>
      <c r="H1646" s="1" t="s">
        <v>19</v>
      </c>
      <c r="I1646" s="1" t="s">
        <v>20</v>
      </c>
      <c r="J1646" s="1" t="s">
        <v>7431</v>
      </c>
      <c r="K1646" s="1" t="s">
        <v>22</v>
      </c>
      <c r="L1646" s="1" t="str">
        <f>HYPERLINK("https://files.afu.se/Downloads/Transcripts/0%20-%20Government/USA%20-%20NASA%20Kennedy/2010 04 15 - NASA's Kennedy Space Center - Air Force One Touches Down_JIvgVDQXjz4 - transcript (automated).pdf","Transcript Link")</f>
        <v>Transcript Link</v>
      </c>
      <c r="M1646" s="2" t="str">
        <f>HYPERLINK("https://files.afu.se/Downloads/Transcripts/0%20-%20Government/USA%20-%20NASA%20Kennedy/2010 04 15 - NASA's Kennedy Space Center - Air Force One Touches Down_JIvgVDQXjz4 - transcript (automated).pdf","Transcript Link")</f>
        <v>Transcript Link</v>
      </c>
    </row>
    <row r="1647" ht="180" spans="1:13">
      <c r="A1647" s="1" t="s">
        <v>7432</v>
      </c>
      <c r="B1647" s="1" t="s">
        <v>13</v>
      </c>
      <c r="C1647" s="4" t="s">
        <v>7433</v>
      </c>
      <c r="D1647" s="1" t="s">
        <v>7434</v>
      </c>
      <c r="E1647" s="1" t="s">
        <v>7435</v>
      </c>
      <c r="F1647" s="4" t="s">
        <v>17</v>
      </c>
      <c r="G1647" s="1" t="s">
        <v>18</v>
      </c>
      <c r="H1647" s="1" t="s">
        <v>19</v>
      </c>
      <c r="I1647" s="1" t="s">
        <v>20</v>
      </c>
      <c r="J1647" s="1" t="s">
        <v>7436</v>
      </c>
      <c r="K1647" s="1" t="s">
        <v>22</v>
      </c>
      <c r="L1647" s="1" t="str">
        <f>HYPERLINK("https://files.afu.se/Downloads/Transcripts/0%20-%20Government/USA%20-%20NASA%20Kennedy/2010 04 07 - NASA's Kennedy Space Center - STS-131 Launch Replay Camera Site 2 TV-7A__chImqQ2Vwg - transcript (automated).pdf","Transcript Link")</f>
        <v>Transcript Link</v>
      </c>
      <c r="M1647" s="2" t="str">
        <f>HYPERLINK("https://files.afu.se/Downloads/Transcripts/0%20-%20Government/USA%20-%20NASA%20Kennedy/2010 04 07 - NASA's Kennedy Space Center - STS-131 Launch Replay Camera Site 2 TV-7A__chImqQ2Vwg - transcript (automated).pdf","Transcript Link")</f>
        <v>Transcript Link</v>
      </c>
    </row>
    <row r="1648" ht="180" spans="1:13">
      <c r="A1648" s="1" t="s">
        <v>7432</v>
      </c>
      <c r="B1648" s="1" t="s">
        <v>13</v>
      </c>
      <c r="C1648" s="4" t="s">
        <v>7437</v>
      </c>
      <c r="D1648" s="1" t="s">
        <v>7438</v>
      </c>
      <c r="E1648" s="1" t="s">
        <v>7439</v>
      </c>
      <c r="F1648" s="4" t="s">
        <v>17</v>
      </c>
      <c r="G1648" s="1" t="s">
        <v>18</v>
      </c>
      <c r="H1648" s="1" t="s">
        <v>19</v>
      </c>
      <c r="I1648" s="1" t="s">
        <v>20</v>
      </c>
      <c r="J1648" s="1" t="s">
        <v>7440</v>
      </c>
      <c r="K1648" s="1" t="s">
        <v>22</v>
      </c>
      <c r="L1648" s="1" t="str">
        <f>HYPERLINK("https://files.afu.se/Downloads/Transcripts/0%20-%20Government/USA%20-%20NASA%20Kennedy/2010 04 07 - NASA's Kennedy Space Center - STS-131 Launch Replay OTV Camera 71__vkjvcdrVU4 - transcript (automated).pdf","Transcript Link")</f>
        <v>Transcript Link</v>
      </c>
      <c r="M1648" s="2" t="str">
        <f>HYPERLINK("https://files.afu.se/Downloads/Transcripts/0%20-%20Government/USA%20-%20NASA%20Kennedy/2010 04 07 - NASA's Kennedy Space Center - STS-131 Launch Replay OTV Camera 71__vkjvcdrVU4 - transcript (automated).pdf","Transcript Link")</f>
        <v>Transcript Link</v>
      </c>
    </row>
    <row r="1649" ht="180" spans="1:13">
      <c r="A1649" s="1" t="s">
        <v>7432</v>
      </c>
      <c r="B1649" s="1" t="s">
        <v>13</v>
      </c>
      <c r="C1649" s="4" t="s">
        <v>7441</v>
      </c>
      <c r="D1649" s="1" t="s">
        <v>7442</v>
      </c>
      <c r="E1649" s="1" t="s">
        <v>7443</v>
      </c>
      <c r="F1649" s="4" t="s">
        <v>17</v>
      </c>
      <c r="G1649" s="1" t="s">
        <v>18</v>
      </c>
      <c r="H1649" s="1" t="s">
        <v>19</v>
      </c>
      <c r="I1649" s="1" t="s">
        <v>20</v>
      </c>
      <c r="J1649" s="1" t="s">
        <v>7444</v>
      </c>
      <c r="K1649" s="1" t="s">
        <v>22</v>
      </c>
      <c r="L1649" s="1" t="str">
        <f>HYPERLINK("https://files.afu.se/Downloads/Transcripts/0%20-%20Government/USA%20-%20NASA%20Kennedy/2010 04 07 - NASA's Kennedy Space Center - STS-131 Launch Replay UCS-15 TV-21A_7hdHDpv_1Fg - transcript (automated).pdf","Transcript Link")</f>
        <v>Transcript Link</v>
      </c>
      <c r="M1649" s="2" t="str">
        <f>HYPERLINK("https://files.afu.se/Downloads/Transcripts/0%20-%20Government/USA%20-%20NASA%20Kennedy/2010 04 07 - NASA's Kennedy Space Center - STS-131 Launch Replay UCS-15 TV-21A_7hdHDpv_1Fg - transcript (automated).pdf","Transcript Link")</f>
        <v>Transcript Link</v>
      </c>
    </row>
    <row r="1650" ht="180" spans="1:13">
      <c r="A1650" s="1" t="s">
        <v>7432</v>
      </c>
      <c r="B1650" s="1" t="s">
        <v>13</v>
      </c>
      <c r="C1650" s="4" t="s">
        <v>7445</v>
      </c>
      <c r="D1650" s="1" t="s">
        <v>7446</v>
      </c>
      <c r="E1650" s="1" t="s">
        <v>7447</v>
      </c>
      <c r="F1650" s="4" t="s">
        <v>17</v>
      </c>
      <c r="G1650" s="1" t="s">
        <v>18</v>
      </c>
      <c r="H1650" s="1" t="s">
        <v>19</v>
      </c>
      <c r="I1650" s="1" t="s">
        <v>20</v>
      </c>
      <c r="J1650" s="1" t="s">
        <v>7448</v>
      </c>
      <c r="K1650" s="1" t="s">
        <v>22</v>
      </c>
      <c r="L1650" s="1" t="str">
        <f>HYPERLINK("https://files.afu.se/Downloads/Transcripts/0%20-%20Government/USA%20-%20NASA%20Kennedy/2010 04 07 - NASA's Kennedy Space Center - STS-131 Launch Replay VAB-TV5_A8leW4SPuv0 - transcript (automated).pdf","Transcript Link")</f>
        <v>Transcript Link</v>
      </c>
      <c r="M1650" s="2" t="str">
        <f>HYPERLINK("https://files.afu.se/Downloads/Transcripts/0%20-%20Government/USA%20-%20NASA%20Kennedy/2010 04 07 - NASA's Kennedy Space Center - STS-131 Launch Replay VAB-TV5_A8leW4SPuv0 - transcript (automated).pdf","Transcript Link")</f>
        <v>Transcript Link</v>
      </c>
    </row>
    <row r="1651" ht="180" spans="1:13">
      <c r="A1651" s="1" t="s">
        <v>7449</v>
      </c>
      <c r="B1651" s="1" t="s">
        <v>13</v>
      </c>
      <c r="C1651" s="4" t="s">
        <v>7450</v>
      </c>
      <c r="D1651" s="1" t="s">
        <v>7451</v>
      </c>
      <c r="E1651" s="1" t="s">
        <v>5710</v>
      </c>
      <c r="F1651" s="4" t="s">
        <v>17</v>
      </c>
      <c r="G1651" s="1" t="s">
        <v>18</v>
      </c>
      <c r="H1651" s="1" t="s">
        <v>19</v>
      </c>
      <c r="I1651" s="1" t="s">
        <v>20</v>
      </c>
      <c r="J1651" s="1" t="s">
        <v>7452</v>
      </c>
      <c r="K1651" s="1" t="s">
        <v>22</v>
      </c>
      <c r="L1651" s="1" t="str">
        <f>HYPERLINK("https://files.afu.se/Downloads/Transcripts/0%20-%20Government/USA%20-%20NASA%20Kennedy/2010 04 05 - NASA's Kennedy Space Center - STS-131 External Tank Jettison_v6KHwAritXM - transcript (automated).pdf","Transcript Link")</f>
        <v>Transcript Link</v>
      </c>
      <c r="M1651" s="2" t="str">
        <f>HYPERLINK("https://files.afu.se/Downloads/Transcripts/0%20-%20Government/USA%20-%20NASA%20Kennedy/2010 04 05 - NASA's Kennedy Space Center - STS-131 External Tank Jettison_v6KHwAritXM - transcript (automated).pdf","Transcript Link")</f>
        <v>Transcript Link</v>
      </c>
    </row>
    <row r="1652" ht="180" spans="1:13">
      <c r="A1652" s="1" t="s">
        <v>7449</v>
      </c>
      <c r="B1652" s="1" t="s">
        <v>13</v>
      </c>
      <c r="C1652" s="4" t="s">
        <v>7453</v>
      </c>
      <c r="D1652" s="1" t="s">
        <v>7454</v>
      </c>
      <c r="E1652" s="1" t="s">
        <v>5710</v>
      </c>
      <c r="F1652" s="4" t="s">
        <v>17</v>
      </c>
      <c r="G1652" s="1" t="s">
        <v>18</v>
      </c>
      <c r="H1652" s="1" t="s">
        <v>19</v>
      </c>
      <c r="I1652" s="1" t="s">
        <v>20</v>
      </c>
      <c r="J1652" s="1" t="s">
        <v>7455</v>
      </c>
      <c r="K1652" s="1" t="s">
        <v>22</v>
      </c>
      <c r="L1652" s="1" t="str">
        <f>HYPERLINK("https://files.afu.se/Downloads/Transcripts/0%20-%20Government/USA%20-%20NASA%20Kennedy/2010 04 05 - NASA's Kennedy Space Center - STS-131 Launch Director Farewell_jETIPwFj29E - transcript (automated).pdf","Transcript Link")</f>
        <v>Transcript Link</v>
      </c>
      <c r="M1652" s="2" t="str">
        <f>HYPERLINK("https://files.afu.se/Downloads/Transcripts/0%20-%20Government/USA%20-%20NASA%20Kennedy/2010 04 05 - NASA's Kennedy Space Center - STS-131 Launch Director Farewell_jETIPwFj29E - transcript (automated).pdf","Transcript Link")</f>
        <v>Transcript Link</v>
      </c>
    </row>
    <row r="1653" ht="180" spans="1:13">
      <c r="A1653" s="1" t="s">
        <v>7449</v>
      </c>
      <c r="B1653" s="1" t="s">
        <v>13</v>
      </c>
      <c r="C1653" s="4" t="s">
        <v>7456</v>
      </c>
      <c r="D1653" s="1" t="s">
        <v>7457</v>
      </c>
      <c r="E1653" s="1" t="s">
        <v>5710</v>
      </c>
      <c r="F1653" s="4" t="s">
        <v>17</v>
      </c>
      <c r="G1653" s="1" t="s">
        <v>18</v>
      </c>
      <c r="H1653" s="1" t="s">
        <v>19</v>
      </c>
      <c r="I1653" s="1" t="s">
        <v>20</v>
      </c>
      <c r="J1653" s="1" t="s">
        <v>7458</v>
      </c>
      <c r="K1653" s="1" t="s">
        <v>22</v>
      </c>
      <c r="L1653" s="1" t="str">
        <f>HYPERLINK("https://files.afu.se/Downloads/Transcripts/0%20-%20Government/USA%20-%20NASA%20Kennedy/2010 04 05 - NASA's Kennedy Space Center - STS-131 Launch_HRhgbHUXKC0 - transcript (automated).pdf","Transcript Link")</f>
        <v>Transcript Link</v>
      </c>
      <c r="M1653" s="2" t="str">
        <f>HYPERLINK("https://files.afu.se/Downloads/Transcripts/0%20-%20Government/USA%20-%20NASA%20Kennedy/2010 04 05 - NASA's Kennedy Space Center - STS-131 Launch_HRhgbHUXKC0 - transcript (automated).pdf","Transcript Link")</f>
        <v>Transcript Link</v>
      </c>
    </row>
    <row r="1654" ht="180" spans="1:13">
      <c r="A1654" s="1" t="s">
        <v>7449</v>
      </c>
      <c r="B1654" s="1" t="s">
        <v>13</v>
      </c>
      <c r="C1654" s="4" t="s">
        <v>7459</v>
      </c>
      <c r="D1654" s="1" t="s">
        <v>7460</v>
      </c>
      <c r="E1654" s="1" t="s">
        <v>5710</v>
      </c>
      <c r="F1654" s="4" t="s">
        <v>17</v>
      </c>
      <c r="G1654" s="1" t="s">
        <v>18</v>
      </c>
      <c r="H1654" s="1" t="s">
        <v>19</v>
      </c>
      <c r="I1654" s="1" t="s">
        <v>20</v>
      </c>
      <c r="J1654" s="1" t="s">
        <v>7461</v>
      </c>
      <c r="K1654" s="1" t="s">
        <v>22</v>
      </c>
      <c r="L1654" s="1" t="str">
        <f>HYPERLINK("https://files.afu.se/Downloads/Transcripts/0%20-%20Government/USA%20-%20NASA%20Kennedy/2010 04 05 - NASA's Kennedy Space Center - STS-131 Crew Ingress_vFgsY1GRVkc - transcript (automated).pdf","Transcript Link")</f>
        <v>Transcript Link</v>
      </c>
      <c r="M1654" s="2" t="str">
        <f>HYPERLINK("https://files.afu.se/Downloads/Transcripts/0%20-%20Government/USA%20-%20NASA%20Kennedy/2010 04 05 - NASA's Kennedy Space Center - STS-131 Crew Ingress_vFgsY1GRVkc - transcript (automated).pdf","Transcript Link")</f>
        <v>Transcript Link</v>
      </c>
    </row>
    <row r="1655" ht="180" spans="1:13">
      <c r="A1655" s="1" t="s">
        <v>7449</v>
      </c>
      <c r="B1655" s="1" t="s">
        <v>13</v>
      </c>
      <c r="C1655" s="4" t="s">
        <v>7462</v>
      </c>
      <c r="D1655" s="1" t="s">
        <v>7463</v>
      </c>
      <c r="E1655" s="1" t="s">
        <v>5710</v>
      </c>
      <c r="F1655" s="4" t="s">
        <v>17</v>
      </c>
      <c r="G1655" s="1" t="s">
        <v>18</v>
      </c>
      <c r="H1655" s="1" t="s">
        <v>19</v>
      </c>
      <c r="I1655" s="1" t="s">
        <v>20</v>
      </c>
      <c r="J1655" s="1" t="s">
        <v>7464</v>
      </c>
      <c r="K1655" s="1" t="s">
        <v>22</v>
      </c>
      <c r="L1655" s="1" t="str">
        <f>HYPERLINK("https://files.afu.se/Downloads/Transcripts/0%20-%20Government/USA%20-%20NASA%20Kennedy/2010 04 05 - NASA's Kennedy Space Center - STS-131 Suitup and Walkout_lif7Ua5tnW0 - transcript (automated).pdf","Transcript Link")</f>
        <v>Transcript Link</v>
      </c>
      <c r="M1655" s="2" t="str">
        <f>HYPERLINK("https://files.afu.se/Downloads/Transcripts/0%20-%20Government/USA%20-%20NASA%20Kennedy/2010 04 05 - NASA's Kennedy Space Center - STS-131 Suitup and Walkout_lif7Ua5tnW0 - transcript (automated).pdf","Transcript Link")</f>
        <v>Transcript Link</v>
      </c>
    </row>
    <row r="1656" ht="180" spans="1:13">
      <c r="A1656" s="1" t="s">
        <v>7449</v>
      </c>
      <c r="B1656" s="1" t="s">
        <v>13</v>
      </c>
      <c r="C1656" s="4" t="s">
        <v>7465</v>
      </c>
      <c r="D1656" s="1" t="s">
        <v>7466</v>
      </c>
      <c r="E1656" s="1" t="s">
        <v>5710</v>
      </c>
      <c r="F1656" s="4" t="s">
        <v>17</v>
      </c>
      <c r="G1656" s="1" t="s">
        <v>18</v>
      </c>
      <c r="H1656" s="1" t="s">
        <v>19</v>
      </c>
      <c r="I1656" s="1" t="s">
        <v>20</v>
      </c>
      <c r="J1656" s="1" t="s">
        <v>7467</v>
      </c>
      <c r="K1656" s="1" t="s">
        <v>22</v>
      </c>
      <c r="L1656" s="1" t="str">
        <f>HYPERLINK("https://files.afu.se/Downloads/Transcripts/0%20-%20Government/USA%20-%20NASA%20Kennedy/2010 04 05 - NASA's Kennedy Space Center - STS-131 Launch Coverage Introduction to Commentary_pxV3TDef_TA - transcript (automated).pdf","Transcript Link")</f>
        <v>Transcript Link</v>
      </c>
      <c r="M1656" s="2" t="str">
        <f>HYPERLINK("https://files.afu.se/Downloads/Transcripts/0%20-%20Government/USA%20-%20NASA%20Kennedy/2010 04 05 - NASA's Kennedy Space Center - STS-131 Launch Coverage Introduction to Commentary_pxV3TDef_TA - transcript (automated).pdf","Transcript Link")</f>
        <v>Transcript Link</v>
      </c>
    </row>
    <row r="1657" ht="180" spans="1:13">
      <c r="A1657" s="1" t="s">
        <v>7468</v>
      </c>
      <c r="B1657" s="1" t="s">
        <v>13</v>
      </c>
      <c r="C1657" s="4" t="s">
        <v>7469</v>
      </c>
      <c r="D1657" s="1" t="s">
        <v>7470</v>
      </c>
      <c r="E1657" s="1" t="s">
        <v>5710</v>
      </c>
      <c r="F1657" s="4" t="s">
        <v>17</v>
      </c>
      <c r="G1657" s="1" t="s">
        <v>18</v>
      </c>
      <c r="H1657" s="1" t="s">
        <v>19</v>
      </c>
      <c r="I1657" s="1" t="s">
        <v>20</v>
      </c>
      <c r="J1657" s="1" t="s">
        <v>7471</v>
      </c>
      <c r="K1657" s="1" t="s">
        <v>22</v>
      </c>
      <c r="L1657" s="1" t="str">
        <f>HYPERLINK("https://files.afu.se/Downloads/Transcripts/0%20-%20Government/USA%20-%20NASA%20Kennedy/2010 03 26 - NASA's Kennedy Space Center - KSC Technology Advancing the Study of Volcanoes_YGaydIFGwRE - transcript (automated).pdf","Transcript Link")</f>
        <v>Transcript Link</v>
      </c>
      <c r="M1657" s="2" t="str">
        <f>HYPERLINK("https://files.afu.se/Downloads/Transcripts/0%20-%20Government/USA%20-%20NASA%20Kennedy/2010 03 26 - NASA's Kennedy Space Center - KSC Technology Advancing the Study of Volcanoes_YGaydIFGwRE - transcript (automated).pdf","Transcript Link")</f>
        <v>Transcript Link</v>
      </c>
    </row>
    <row r="1658" ht="285" spans="1:13">
      <c r="A1658" s="1" t="s">
        <v>7472</v>
      </c>
      <c r="B1658" s="1" t="s">
        <v>13</v>
      </c>
      <c r="C1658" s="4" t="s">
        <v>7473</v>
      </c>
      <c r="D1658" s="1" t="s">
        <v>7474</v>
      </c>
      <c r="E1658" s="1" t="s">
        <v>7475</v>
      </c>
      <c r="F1658" s="4" t="s">
        <v>17</v>
      </c>
      <c r="G1658" s="1" t="s">
        <v>18</v>
      </c>
      <c r="H1658" s="1" t="s">
        <v>19</v>
      </c>
      <c r="I1658" s="1" t="s">
        <v>20</v>
      </c>
      <c r="J1658" s="1" t="s">
        <v>7476</v>
      </c>
      <c r="K1658" s="1" t="s">
        <v>22</v>
      </c>
      <c r="L1658" s="1" t="str">
        <f>HYPERLINK("https://files.afu.se/Downloads/Transcripts/0%20-%20Government/USA%20-%20NASA%20Kennedy/2010 03 23 - NASA's Kennedy Space Center - Shuttle Workforce Message from Bob Crippen_5vfyZtVPvfs - transcript (automated).pdf","Transcript Link")</f>
        <v>Transcript Link</v>
      </c>
      <c r="M1658" s="2" t="str">
        <f>HYPERLINK("https://files.afu.se/Downloads/Transcripts/0%20-%20Government/USA%20-%20NASA%20Kennedy/2010 03 23 - NASA's Kennedy Space Center - Shuttle Workforce Message from Bob Crippen_5vfyZtVPvfs - transcript (automated).pdf","Transcript Link")</f>
        <v>Transcript Link</v>
      </c>
    </row>
    <row r="1659" ht="180" spans="1:13">
      <c r="A1659" s="1" t="s">
        <v>7477</v>
      </c>
      <c r="B1659" s="1" t="s">
        <v>13</v>
      </c>
      <c r="C1659" s="4" t="s">
        <v>7478</v>
      </c>
      <c r="D1659" s="1" t="s">
        <v>7479</v>
      </c>
      <c r="E1659" s="1" t="s">
        <v>7480</v>
      </c>
      <c r="F1659" s="4" t="s">
        <v>17</v>
      </c>
      <c r="G1659" s="1" t="s">
        <v>18</v>
      </c>
      <c r="H1659" s="1" t="s">
        <v>19</v>
      </c>
      <c r="I1659" s="1" t="s">
        <v>20</v>
      </c>
      <c r="J1659" s="1" t="s">
        <v>7481</v>
      </c>
      <c r="K1659" s="1" t="s">
        <v>22</v>
      </c>
      <c r="L1659" s="1" t="str">
        <f>HYPERLINK("https://files.afu.se/Downloads/Transcripts/0%20-%20Government/USA%20-%20NASA%20Kennedy/2010 03 11 - NASA's Kennedy Space Center - In Their Own Words with NASA Astronaut Mike Gernhardt_1bFj2tWds38 - transcript (automated).pdf","Transcript Link")</f>
        <v>Transcript Link</v>
      </c>
      <c r="M1659" s="2" t="str">
        <f>HYPERLINK("https://files.afu.se/Downloads/Transcripts/0%20-%20Government/USA%20-%20NASA%20Kennedy/2010 03 11 - NASA's Kennedy Space Center - In Their Own Words with NASA Astronaut Mike Gernhardt_1bFj2tWds38 - transcript (automated).pdf","Transcript Link")</f>
        <v>Transcript Link</v>
      </c>
    </row>
    <row r="1660" ht="180" spans="1:13">
      <c r="A1660" s="1" t="s">
        <v>7482</v>
      </c>
      <c r="B1660" s="1" t="s">
        <v>13</v>
      </c>
      <c r="C1660" s="4" t="s">
        <v>7483</v>
      </c>
      <c r="D1660" s="1" t="s">
        <v>7484</v>
      </c>
      <c r="E1660" s="1" t="s">
        <v>7485</v>
      </c>
      <c r="F1660" s="4" t="s">
        <v>17</v>
      </c>
      <c r="G1660" s="1" t="s">
        <v>18</v>
      </c>
      <c r="H1660" s="1" t="s">
        <v>19</v>
      </c>
      <c r="I1660" s="1" t="s">
        <v>20</v>
      </c>
      <c r="J1660" s="1" t="s">
        <v>7486</v>
      </c>
      <c r="K1660" s="1" t="s">
        <v>22</v>
      </c>
      <c r="L1660" s="1" t="str">
        <f>HYPERLINK("https://files.afu.se/Downloads/Transcripts/0%20-%20Government/USA%20-%20NASA%20Kennedy/2010 03 09 - NASA's Kennedy Space Center - STS-131 TCDT_LINQi807FYY - transcript (automated).pdf","Transcript Link")</f>
        <v>Transcript Link</v>
      </c>
      <c r="M1660" s="2" t="str">
        <f>HYPERLINK("https://files.afu.se/Downloads/Transcripts/0%20-%20Government/USA%20-%20NASA%20Kennedy/2010 03 09 - NASA's Kennedy Space Center - STS-131 TCDT_LINQi807FYY - transcript (automated).pdf","Transcript Link")</f>
        <v>Transcript Link</v>
      </c>
    </row>
    <row r="1661" ht="180" spans="1:13">
      <c r="A1661" s="1" t="s">
        <v>7487</v>
      </c>
      <c r="B1661" s="1" t="s">
        <v>13</v>
      </c>
      <c r="C1661" s="4" t="s">
        <v>7488</v>
      </c>
      <c r="D1661" s="1" t="s">
        <v>7489</v>
      </c>
      <c r="E1661" s="1" t="s">
        <v>7490</v>
      </c>
      <c r="F1661" s="4" t="s">
        <v>17</v>
      </c>
      <c r="G1661" s="1" t="s">
        <v>18</v>
      </c>
      <c r="H1661" s="1" t="s">
        <v>19</v>
      </c>
      <c r="I1661" s="1" t="s">
        <v>20</v>
      </c>
      <c r="J1661" s="1" t="s">
        <v>7491</v>
      </c>
      <c r="K1661" s="1" t="s">
        <v>22</v>
      </c>
      <c r="L1661" s="1" t="str">
        <f>HYPERLINK("https://files.afu.se/Downloads/Transcripts/0%20-%20Government/USA%20-%20NASA%20Kennedy/2010 03 05 - NASA's Kennedy Space Center - GOES-P Launch_ov7SIYihRmE - transcript (automated).pdf","Transcript Link")</f>
        <v>Transcript Link</v>
      </c>
      <c r="M1661" s="2" t="str">
        <f>HYPERLINK("https://files.afu.se/Downloads/Transcripts/0%20-%20Government/USA%20-%20NASA%20Kennedy/2010 03 05 - NASA's Kennedy Space Center - GOES-P Launch_ov7SIYihRmE - transcript (automated).pdf","Transcript Link")</f>
        <v>Transcript Link</v>
      </c>
    </row>
    <row r="1662" ht="195" spans="1:13">
      <c r="A1662" s="1" t="s">
        <v>7492</v>
      </c>
      <c r="B1662" s="1" t="s">
        <v>13</v>
      </c>
      <c r="C1662" s="4" t="s">
        <v>7493</v>
      </c>
      <c r="D1662" s="1" t="s">
        <v>7494</v>
      </c>
      <c r="E1662" s="1" t="s">
        <v>7495</v>
      </c>
      <c r="F1662" s="4" t="s">
        <v>17</v>
      </c>
      <c r="G1662" s="1" t="s">
        <v>18</v>
      </c>
      <c r="H1662" s="1" t="s">
        <v>19</v>
      </c>
      <c r="I1662" s="1" t="s">
        <v>20</v>
      </c>
      <c r="J1662" s="1" t="s">
        <v>7496</v>
      </c>
      <c r="K1662" s="1" t="s">
        <v>22</v>
      </c>
      <c r="L1662" s="1" t="str">
        <f>HYPERLINK("https://files.afu.se/Downloads/Transcripts/0%20-%20Government/USA%20-%20NASA%20Kennedy/2010 03 04 - NASA's Kennedy Space Center - STS-131 Rollout_kEGYewXifT4 - transcript (automated).pdf","Transcript Link")</f>
        <v>Transcript Link</v>
      </c>
      <c r="M1662" s="2" t="str">
        <f>HYPERLINK("https://files.afu.se/Downloads/Transcripts/0%20-%20Government/USA%20-%20NASA%20Kennedy/2010 03 04 - NASA's Kennedy Space Center - STS-131 Rollout_kEGYewXifT4 - transcript (automated).pdf","Transcript Link")</f>
        <v>Transcript Link</v>
      </c>
    </row>
    <row r="1663" ht="225" spans="1:13">
      <c r="A1663" s="1" t="s">
        <v>7497</v>
      </c>
      <c r="B1663" s="1" t="s">
        <v>13</v>
      </c>
      <c r="C1663" s="4" t="s">
        <v>7498</v>
      </c>
      <c r="D1663" s="1" t="s">
        <v>7499</v>
      </c>
      <c r="E1663" s="1" t="s">
        <v>7500</v>
      </c>
      <c r="F1663" s="4" t="s">
        <v>17</v>
      </c>
      <c r="G1663" s="1" t="s">
        <v>18</v>
      </c>
      <c r="H1663" s="1" t="s">
        <v>19</v>
      </c>
      <c r="I1663" s="1" t="s">
        <v>20</v>
      </c>
      <c r="J1663" s="1" t="s">
        <v>7501</v>
      </c>
      <c r="K1663" s="1" t="s">
        <v>22</v>
      </c>
      <c r="L1663" s="1" t="str">
        <f>HYPERLINK("https://files.afu.se/Downloads/Transcripts/0%20-%20Government/USA%20-%20NASA%20Kennedy/2010 02 25 - NASA's Kennedy Space Center - STS-130 Mission Recap Video_BJGaXzNIrdE - transcript (automated).pdf","Transcript Link")</f>
        <v>Transcript Link</v>
      </c>
      <c r="M1663" s="2" t="str">
        <f>HYPERLINK("https://files.afu.se/Downloads/Transcripts/0%20-%20Government/USA%20-%20NASA%20Kennedy/2010 02 25 - NASA's Kennedy Space Center - STS-130 Mission Recap Video_BJGaXzNIrdE - transcript (automated).pdf","Transcript Link")</f>
        <v>Transcript Link</v>
      </c>
    </row>
    <row r="1664" ht="180" spans="1:13">
      <c r="A1664" s="1" t="s">
        <v>7502</v>
      </c>
      <c r="B1664" s="1" t="s">
        <v>13</v>
      </c>
      <c r="C1664" s="4" t="s">
        <v>7503</v>
      </c>
      <c r="D1664" s="1" t="s">
        <v>7504</v>
      </c>
      <c r="E1664" s="1" t="s">
        <v>7505</v>
      </c>
      <c r="F1664" s="4" t="s">
        <v>17</v>
      </c>
      <c r="G1664" s="1" t="s">
        <v>18</v>
      </c>
      <c r="H1664" s="1" t="s">
        <v>19</v>
      </c>
      <c r="I1664" s="1" t="s">
        <v>20</v>
      </c>
      <c r="J1664" s="1" t="s">
        <v>7506</v>
      </c>
      <c r="K1664" s="1" t="s">
        <v>22</v>
      </c>
      <c r="L1664" s="1" t="str">
        <f>HYPERLINK("https://files.afu.se/Downloads/Transcripts/0%20-%20Government/USA%20-%20NASA%20Kennedy/2010 02 22 - NASA's Kennedy Space Center - STS-130 Landing  Mission Conclusion with Crew Comments_easkkbaMjd8 - transcript (automated).pdf","Transcript Link")</f>
        <v>Transcript Link</v>
      </c>
      <c r="M1664" s="2" t="str">
        <f>HYPERLINK("https://files.afu.se/Downloads/Transcripts/0%20-%20Government/USA%20-%20NASA%20Kennedy/2010 02 22 - NASA's Kennedy Space Center - STS-130 Landing  Mission Conclusion with Crew Comments_easkkbaMjd8 - transcript (automated).pdf","Transcript Link")</f>
        <v>Transcript Link</v>
      </c>
    </row>
    <row r="1665" ht="180" spans="1:13">
      <c r="A1665" s="1" t="s">
        <v>7502</v>
      </c>
      <c r="B1665" s="1" t="s">
        <v>13</v>
      </c>
      <c r="C1665" s="4" t="s">
        <v>7507</v>
      </c>
      <c r="D1665" s="1" t="s">
        <v>7508</v>
      </c>
      <c r="E1665" s="1" t="s">
        <v>7509</v>
      </c>
      <c r="F1665" s="4" t="s">
        <v>17</v>
      </c>
      <c r="G1665" s="1" t="s">
        <v>18</v>
      </c>
      <c r="H1665" s="1" t="s">
        <v>19</v>
      </c>
      <c r="I1665" s="1" t="s">
        <v>20</v>
      </c>
      <c r="J1665" s="1" t="s">
        <v>7510</v>
      </c>
      <c r="K1665" s="1" t="s">
        <v>22</v>
      </c>
      <c r="L1665" s="1" t="str">
        <f>HYPERLINK("https://files.afu.se/Downloads/Transcripts/0%20-%20Government/USA%20-%20NASA%20Kennedy/2010 02 22 - NASA's Kennedy Space Center - STS-130 Landing_N61xawXhdhA - transcript (automated).pdf","Transcript Link")</f>
        <v>Transcript Link</v>
      </c>
      <c r="M1665" s="2" t="str">
        <f>HYPERLINK("https://files.afu.se/Downloads/Transcripts/0%20-%20Government/USA%20-%20NASA%20Kennedy/2010 02 22 - NASA's Kennedy Space Center - STS-130 Landing_N61xawXhdhA - transcript (automated).pdf","Transcript Link")</f>
        <v>Transcript Link</v>
      </c>
    </row>
    <row r="1666" ht="195" spans="1:13">
      <c r="A1666" s="1" t="s">
        <v>7502</v>
      </c>
      <c r="B1666" s="1" t="s">
        <v>13</v>
      </c>
      <c r="C1666" s="4" t="s">
        <v>7511</v>
      </c>
      <c r="D1666" s="1" t="s">
        <v>7512</v>
      </c>
      <c r="E1666" s="1" t="s">
        <v>7513</v>
      </c>
      <c r="F1666" s="4" t="s">
        <v>17</v>
      </c>
      <c r="G1666" s="1" t="s">
        <v>18</v>
      </c>
      <c r="H1666" s="1" t="s">
        <v>19</v>
      </c>
      <c r="I1666" s="1" t="s">
        <v>20</v>
      </c>
      <c r="J1666" s="1" t="s">
        <v>7514</v>
      </c>
      <c r="K1666" s="1" t="s">
        <v>22</v>
      </c>
      <c r="L1666" s="1" t="str">
        <f>HYPERLINK("https://files.afu.se/Downloads/Transcripts/0%20-%20Government/USA%20-%20NASA%20Kennedy/2010 02 22 - NASA's Kennedy Space Center - STS-130 Landing  Go for deorbit burn_MzUsI4Uf3lc - transcript (automated).pdf","Transcript Link")</f>
        <v>Transcript Link</v>
      </c>
      <c r="M1666" s="2" t="str">
        <f>HYPERLINK("https://files.afu.se/Downloads/Transcripts/0%20-%20Government/USA%20-%20NASA%20Kennedy/2010 02 22 - NASA's Kennedy Space Center - STS-130 Landing  Go for deorbit burn_MzUsI4Uf3lc - transcript (automated).pdf","Transcript Link")</f>
        <v>Transcript Link</v>
      </c>
    </row>
    <row r="1667" ht="180" spans="1:13">
      <c r="A1667" s="1" t="s">
        <v>7515</v>
      </c>
      <c r="B1667" s="1" t="s">
        <v>13</v>
      </c>
      <c r="C1667" s="4" t="s">
        <v>7516</v>
      </c>
      <c r="D1667" s="1" t="s">
        <v>7517</v>
      </c>
      <c r="E1667" s="1" t="s">
        <v>7518</v>
      </c>
      <c r="F1667" s="4" t="s">
        <v>17</v>
      </c>
      <c r="G1667" s="1" t="s">
        <v>18</v>
      </c>
      <c r="H1667" s="1" t="s">
        <v>19</v>
      </c>
      <c r="I1667" s="1" t="s">
        <v>20</v>
      </c>
      <c r="J1667" s="1" t="s">
        <v>7519</v>
      </c>
      <c r="K1667" s="1" t="s">
        <v>22</v>
      </c>
      <c r="L1667" s="1" t="str">
        <f>HYPERLINK("https://files.afu.se/Downloads/Transcripts/0%20-%20Government/USA%20-%20NASA%20Kennedy/2010 02 11 - NASA's Kennedy Space Center - SDO Launch Manager Final Launch Readiness Poll_sgRuCHiqYUE - transcript (automated).pdf","Transcript Link")</f>
        <v>Transcript Link</v>
      </c>
      <c r="M1667" s="2" t="str">
        <f>HYPERLINK("https://files.afu.se/Downloads/Transcripts/0%20-%20Government/USA%20-%20NASA%20Kennedy/2010 02 11 - NASA's Kennedy Space Center - SDO Launch Manager Final Launch Readiness Poll_sgRuCHiqYUE - transcript (automated).pdf","Transcript Link")</f>
        <v>Transcript Link</v>
      </c>
    </row>
    <row r="1668" ht="180" spans="1:13">
      <c r="A1668" s="1" t="s">
        <v>7515</v>
      </c>
      <c r="B1668" s="1" t="s">
        <v>13</v>
      </c>
      <c r="C1668" s="4" t="s">
        <v>7520</v>
      </c>
      <c r="D1668" s="1" t="s">
        <v>7521</v>
      </c>
      <c r="E1668" s="1" t="s">
        <v>7522</v>
      </c>
      <c r="F1668" s="4" t="s">
        <v>17</v>
      </c>
      <c r="G1668" s="1" t="s">
        <v>18</v>
      </c>
      <c r="H1668" s="1" t="s">
        <v>19</v>
      </c>
      <c r="I1668" s="1" t="s">
        <v>20</v>
      </c>
      <c r="J1668" s="1" t="s">
        <v>7523</v>
      </c>
      <c r="K1668" s="1" t="s">
        <v>22</v>
      </c>
      <c r="L1668" s="1" t="str">
        <f>HYPERLINK("https://files.afu.se/Downloads/Transcripts/0%20-%20Government/USA%20-%20NASA%20Kennedy/2010 02 11 - NASA's Kennedy Space Center - SDO Post Launch comments with Omar Baez_fW5cJ4-uMYc - transcript (automated).pdf","Transcript Link")</f>
        <v>Transcript Link</v>
      </c>
      <c r="M1668" s="2" t="str">
        <f>HYPERLINK("https://files.afu.se/Downloads/Transcripts/0%20-%20Government/USA%20-%20NASA%20Kennedy/2010 02 11 - NASA's Kennedy Space Center - SDO Post Launch comments with Omar Baez_fW5cJ4-uMYc - transcript (automated).pdf","Transcript Link")</f>
        <v>Transcript Link</v>
      </c>
    </row>
    <row r="1669" ht="180" spans="1:13">
      <c r="A1669" s="1" t="s">
        <v>7515</v>
      </c>
      <c r="B1669" s="1" t="s">
        <v>13</v>
      </c>
      <c r="C1669" s="4" t="s">
        <v>7524</v>
      </c>
      <c r="D1669" s="1" t="s">
        <v>7525</v>
      </c>
      <c r="E1669" s="1" t="s">
        <v>7526</v>
      </c>
      <c r="F1669" s="4" t="s">
        <v>17</v>
      </c>
      <c r="G1669" s="1" t="s">
        <v>18</v>
      </c>
      <c r="H1669" s="1" t="s">
        <v>19</v>
      </c>
      <c r="I1669" s="1" t="s">
        <v>20</v>
      </c>
      <c r="J1669" s="1" t="s">
        <v>7527</v>
      </c>
      <c r="K1669" s="1" t="s">
        <v>22</v>
      </c>
      <c r="L1669" s="1" t="str">
        <f>HYPERLINK("https://files.afu.se/Downloads/Transcripts/0%20-%20Government/USA%20-%20NASA%20Kennedy/2010 02 11 - NASA's Kennedy Space Center - SDO Spacecraft Separation_m9GBnDJU1iE - transcript (automated).pdf","Transcript Link")</f>
        <v>Transcript Link</v>
      </c>
      <c r="M1669" s="2" t="str">
        <f>HYPERLINK("https://files.afu.se/Downloads/Transcripts/0%20-%20Government/USA%20-%20NASA%20Kennedy/2010 02 11 - NASA's Kennedy Space Center - SDO Spacecraft Separation_m9GBnDJU1iE - transcript (automated).pdf","Transcript Link")</f>
        <v>Transcript Link</v>
      </c>
    </row>
    <row r="1670" ht="180" spans="1:13">
      <c r="A1670" s="1" t="s">
        <v>7515</v>
      </c>
      <c r="B1670" s="1" t="s">
        <v>13</v>
      </c>
      <c r="C1670" s="4" t="s">
        <v>7528</v>
      </c>
      <c r="D1670" s="1" t="s">
        <v>7529</v>
      </c>
      <c r="E1670" s="1" t="s">
        <v>7530</v>
      </c>
      <c r="F1670" s="4" t="s">
        <v>17</v>
      </c>
      <c r="G1670" s="1" t="s">
        <v>18</v>
      </c>
      <c r="H1670" s="1" t="s">
        <v>19</v>
      </c>
      <c r="I1670" s="1" t="s">
        <v>20</v>
      </c>
      <c r="J1670" s="1" t="s">
        <v>7531</v>
      </c>
      <c r="K1670" s="1" t="s">
        <v>22</v>
      </c>
      <c r="L1670" s="1" t="str">
        <f>HYPERLINK("https://files.afu.se/Downloads/Transcripts/0%20-%20Government/USA%20-%20NASA%20Kennedy/2010 02 11 - NASA's Kennedy Space Center - SDO Launch_AIBr3wlL4X8 - transcript (automated).pdf","Transcript Link")</f>
        <v>Transcript Link</v>
      </c>
      <c r="M1670" s="2" t="str">
        <f>HYPERLINK("https://files.afu.se/Downloads/Transcripts/0%20-%20Government/USA%20-%20NASA%20Kennedy/2010 02 11 - NASA's Kennedy Space Center - SDO Launch_AIBr3wlL4X8 - transcript (automated).pdf","Transcript Link")</f>
        <v>Transcript Link</v>
      </c>
    </row>
    <row r="1671" ht="180" spans="1:13">
      <c r="A1671" s="1" t="s">
        <v>7515</v>
      </c>
      <c r="B1671" s="1" t="s">
        <v>13</v>
      </c>
      <c r="C1671" s="4" t="s">
        <v>7532</v>
      </c>
      <c r="D1671" s="1" t="s">
        <v>7533</v>
      </c>
      <c r="E1671" s="1" t="s">
        <v>7534</v>
      </c>
      <c r="F1671" s="4" t="s">
        <v>17</v>
      </c>
      <c r="G1671" s="1" t="s">
        <v>18</v>
      </c>
      <c r="H1671" s="1" t="s">
        <v>19</v>
      </c>
      <c r="I1671" s="1" t="s">
        <v>20</v>
      </c>
      <c r="J1671" s="1" t="s">
        <v>7535</v>
      </c>
      <c r="K1671" s="1" t="s">
        <v>22</v>
      </c>
      <c r="L1671" s="1" t="str">
        <f>HYPERLINK("https://files.afu.se/Downloads/Transcripts/0%20-%20Government/USA%20-%20NASA%20Kennedy/2010 02 11 - NASA's Kennedy Space Center - Introduction to SDO Launch Commentary_94fMTHLdI3k - transcript (automated).pdf","Transcript Link")</f>
        <v>Transcript Link</v>
      </c>
      <c r="M1671" s="2" t="str">
        <f>HYPERLINK("https://files.afu.se/Downloads/Transcripts/0%20-%20Government/USA%20-%20NASA%20Kennedy/2010 02 11 - NASA's Kennedy Space Center - Introduction to SDO Launch Commentary_94fMTHLdI3k - transcript (automated).pdf","Transcript Link")</f>
        <v>Transcript Link</v>
      </c>
    </row>
    <row r="1672" ht="180" spans="1:13">
      <c r="A1672" s="1" t="s">
        <v>7536</v>
      </c>
      <c r="B1672" s="1" t="s">
        <v>13</v>
      </c>
      <c r="C1672" s="4" t="s">
        <v>7537</v>
      </c>
      <c r="D1672" s="1" t="s">
        <v>7538</v>
      </c>
      <c r="E1672" s="1" t="s">
        <v>7539</v>
      </c>
      <c r="F1672" s="4" t="s">
        <v>17</v>
      </c>
      <c r="G1672" s="1" t="s">
        <v>18</v>
      </c>
      <c r="H1672" s="1" t="s">
        <v>19</v>
      </c>
      <c r="I1672" s="1" t="s">
        <v>20</v>
      </c>
      <c r="J1672" s="1" t="s">
        <v>7540</v>
      </c>
      <c r="K1672" s="1" t="s">
        <v>22</v>
      </c>
      <c r="L1672" s="1" t="str">
        <f>HYPERLINK("https://files.afu.se/Downloads/Transcripts/0%20-%20Government/USA%20-%20NASA%20Kennedy/2010 02 08 - NASA's Kennedy Space Center - STS-130 Farewell_Uym_zFWtXps - transcript (automated).pdf","Transcript Link")</f>
        <v>Transcript Link</v>
      </c>
      <c r="M1672" s="2" t="str">
        <f>HYPERLINK("https://files.afu.se/Downloads/Transcripts/0%20-%20Government/USA%20-%20NASA%20Kennedy/2010 02 08 - NASA's Kennedy Space Center - STS-130 Farewell_Uym_zFWtXps - transcript (automated).pdf","Transcript Link")</f>
        <v>Transcript Link</v>
      </c>
    </row>
    <row r="1673" ht="180" spans="1:13">
      <c r="A1673" s="1" t="s">
        <v>7536</v>
      </c>
      <c r="B1673" s="1" t="s">
        <v>13</v>
      </c>
      <c r="C1673" s="4" t="s">
        <v>7541</v>
      </c>
      <c r="D1673" s="1" t="s">
        <v>7542</v>
      </c>
      <c r="E1673" s="1" t="s">
        <v>7543</v>
      </c>
      <c r="F1673" s="4" t="s">
        <v>17</v>
      </c>
      <c r="G1673" s="1" t="s">
        <v>18</v>
      </c>
      <c r="H1673" s="1" t="s">
        <v>19</v>
      </c>
      <c r="I1673" s="1" t="s">
        <v>20</v>
      </c>
      <c r="J1673" s="1" t="s">
        <v>7544</v>
      </c>
      <c r="K1673" s="1" t="s">
        <v>22</v>
      </c>
      <c r="L1673" s="1" t="str">
        <f>HYPERLINK("https://files.afu.se/Downloads/Transcripts/0%20-%20Government/USA%20-%20NASA%20Kennedy/2010 02 08 - NASA's Kennedy Space Center - Launch of STS-130_l1m1Mr0aPSs - transcript (automated).pdf","Transcript Link")</f>
        <v>Transcript Link</v>
      </c>
      <c r="M1673" s="2" t="str">
        <f>HYPERLINK("https://files.afu.se/Downloads/Transcripts/0%20-%20Government/USA%20-%20NASA%20Kennedy/2010 02 08 - NASA's Kennedy Space Center - Launch of STS-130_l1m1Mr0aPSs - transcript (automated).pdf","Transcript Link")</f>
        <v>Transcript Link</v>
      </c>
    </row>
    <row r="1674" ht="180" spans="1:13">
      <c r="A1674" s="1" t="s">
        <v>7536</v>
      </c>
      <c r="B1674" s="1" t="s">
        <v>13</v>
      </c>
      <c r="C1674" s="4" t="s">
        <v>7545</v>
      </c>
      <c r="D1674" s="1" t="s">
        <v>7546</v>
      </c>
      <c r="E1674" s="1" t="s">
        <v>7547</v>
      </c>
      <c r="F1674" s="4" t="s">
        <v>17</v>
      </c>
      <c r="G1674" s="1" t="s">
        <v>18</v>
      </c>
      <c r="H1674" s="1" t="s">
        <v>19</v>
      </c>
      <c r="I1674" s="1" t="s">
        <v>20</v>
      </c>
      <c r="J1674" s="1" t="s">
        <v>7548</v>
      </c>
      <c r="K1674" s="1" t="s">
        <v>22</v>
      </c>
      <c r="L1674" s="1" t="str">
        <f>HYPERLINK("https://files.afu.se/Downloads/Transcripts/0%20-%20Government/USA%20-%20NASA%20Kennedy/2010 02 08 - NASA's Kennedy Space Center - STS-130 External Tank Jettison_JO3gQ-zWPvY - transcript (automated).pdf","Transcript Link")</f>
        <v>Transcript Link</v>
      </c>
      <c r="M1674" s="2" t="str">
        <f>HYPERLINK("https://files.afu.se/Downloads/Transcripts/0%20-%20Government/USA%20-%20NASA%20Kennedy/2010 02 08 - NASA's Kennedy Space Center - STS-130 External Tank Jettison_JO3gQ-zWPvY - transcript (automated).pdf","Transcript Link")</f>
        <v>Transcript Link</v>
      </c>
    </row>
    <row r="1675" ht="180" spans="1:13">
      <c r="A1675" s="1" t="s">
        <v>7536</v>
      </c>
      <c r="B1675" s="1" t="s">
        <v>13</v>
      </c>
      <c r="C1675" s="4" t="s">
        <v>7549</v>
      </c>
      <c r="D1675" s="1" t="s">
        <v>7550</v>
      </c>
      <c r="E1675" s="1" t="s">
        <v>7551</v>
      </c>
      <c r="F1675" s="4" t="s">
        <v>17</v>
      </c>
      <c r="G1675" s="1" t="s">
        <v>18</v>
      </c>
      <c r="H1675" s="1" t="s">
        <v>19</v>
      </c>
      <c r="I1675" s="1" t="s">
        <v>20</v>
      </c>
      <c r="J1675" s="1" t="s">
        <v>7552</v>
      </c>
      <c r="K1675" s="1" t="s">
        <v>22</v>
      </c>
      <c r="L1675" s="1" t="str">
        <f>HYPERLINK("https://files.afu.se/Downloads/Transcripts/0%20-%20Government/USA%20-%20NASA%20Kennedy/2010 02 08 - NASA's Kennedy Space Center - STS-130 Crew Strap In for Launch_oEaFDTL3jtY - transcript (automated).pdf","Transcript Link")</f>
        <v>Transcript Link</v>
      </c>
      <c r="M1675" s="2" t="str">
        <f>HYPERLINK("https://files.afu.se/Downloads/Transcripts/0%20-%20Government/USA%20-%20NASA%20Kennedy/2010 02 08 - NASA's Kennedy Space Center - STS-130 Crew Strap In for Launch_oEaFDTL3jtY - transcript (automated).pdf","Transcript Link")</f>
        <v>Transcript Link</v>
      </c>
    </row>
    <row r="1676" ht="180" spans="1:13">
      <c r="A1676" s="1" t="s">
        <v>7536</v>
      </c>
      <c r="B1676" s="1" t="s">
        <v>13</v>
      </c>
      <c r="C1676" s="4" t="s">
        <v>7553</v>
      </c>
      <c r="D1676" s="1" t="s">
        <v>7554</v>
      </c>
      <c r="E1676" s="1" t="s">
        <v>7555</v>
      </c>
      <c r="F1676" s="4" t="s">
        <v>17</v>
      </c>
      <c r="G1676" s="1" t="s">
        <v>18</v>
      </c>
      <c r="H1676" s="1" t="s">
        <v>19</v>
      </c>
      <c r="I1676" s="1" t="s">
        <v>20</v>
      </c>
      <c r="J1676" s="1" t="s">
        <v>7556</v>
      </c>
      <c r="K1676" s="1" t="s">
        <v>22</v>
      </c>
      <c r="L1676" s="1" t="str">
        <f>HYPERLINK("https://files.afu.se/Downloads/Transcripts/0%20-%20Government/USA%20-%20NASA%20Kennedy/2010 02 08 - NASA's Kennedy Space Center - STS-130 What's Going Up _g5VkYpZWJAY - transcript (automated).pdf","Transcript Link")</f>
        <v>Transcript Link</v>
      </c>
      <c r="M1676" s="2" t="str">
        <f>HYPERLINK("https://files.afu.se/Downloads/Transcripts/0%20-%20Government/USA%20-%20NASA%20Kennedy/2010 02 08 - NASA's Kennedy Space Center - STS-130 What's Going Up _g5VkYpZWJAY - transcript (automated).pdf","Transcript Link")</f>
        <v>Transcript Link</v>
      </c>
    </row>
    <row r="1677" ht="180" spans="1:13">
      <c r="A1677" s="1" t="s">
        <v>7536</v>
      </c>
      <c r="B1677" s="1" t="s">
        <v>13</v>
      </c>
      <c r="C1677" s="4" t="s">
        <v>7557</v>
      </c>
      <c r="D1677" s="1" t="s">
        <v>7558</v>
      </c>
      <c r="E1677" s="1" t="s">
        <v>7559</v>
      </c>
      <c r="F1677" s="4" t="s">
        <v>17</v>
      </c>
      <c r="G1677" s="1" t="s">
        <v>18</v>
      </c>
      <c r="H1677" s="1" t="s">
        <v>19</v>
      </c>
      <c r="I1677" s="1" t="s">
        <v>20</v>
      </c>
      <c r="J1677" s="1" t="s">
        <v>7560</v>
      </c>
      <c r="K1677" s="1" t="s">
        <v>22</v>
      </c>
      <c r="L1677" s="1" t="str">
        <f>HYPERLINK("https://files.afu.se/Downloads/Transcripts/0%20-%20Government/USA%20-%20NASA%20Kennedy/2010 02 08 - NASA's Kennedy Space Center - STS-130 Suitup and Walkout_7EM7YzCzSGQ - transcript (automated).pdf","Transcript Link")</f>
        <v>Transcript Link</v>
      </c>
      <c r="M1677" s="2" t="str">
        <f>HYPERLINK("https://files.afu.se/Downloads/Transcripts/0%20-%20Government/USA%20-%20NASA%20Kennedy/2010 02 08 - NASA's Kennedy Space Center - STS-130 Suitup and Walkout_7EM7YzCzSGQ - transcript (automated).pdf","Transcript Link")</f>
        <v>Transcript Link</v>
      </c>
    </row>
    <row r="1678" ht="180" spans="1:13">
      <c r="A1678" s="1" t="s">
        <v>7536</v>
      </c>
      <c r="B1678" s="1" t="s">
        <v>13</v>
      </c>
      <c r="C1678" s="4" t="s">
        <v>7561</v>
      </c>
      <c r="D1678" s="1" t="s">
        <v>7562</v>
      </c>
      <c r="E1678" s="1" t="s">
        <v>7563</v>
      </c>
      <c r="F1678" s="4" t="s">
        <v>17</v>
      </c>
      <c r="G1678" s="1" t="s">
        <v>18</v>
      </c>
      <c r="H1678" s="1" t="s">
        <v>19</v>
      </c>
      <c r="I1678" s="1" t="s">
        <v>20</v>
      </c>
      <c r="J1678" s="1" t="s">
        <v>7564</v>
      </c>
      <c r="K1678" s="1" t="s">
        <v>22</v>
      </c>
      <c r="L1678" s="1" t="str">
        <f>HYPERLINK("https://files.afu.se/Downloads/Transcripts/0%20-%20Government/USA%20-%20NASA%20Kennedy/2010 02 08 - NASA's Kennedy Space Center - STS-130 Live Coverage Open_a3t_zvBMMKE - transcript (automated).pdf","Transcript Link")</f>
        <v>Transcript Link</v>
      </c>
      <c r="M1678" s="2" t="str">
        <f>HYPERLINK("https://files.afu.se/Downloads/Transcripts/0%20-%20Government/USA%20-%20NASA%20Kennedy/2010 02 08 - NASA's Kennedy Space Center - STS-130 Live Coverage Open_a3t_zvBMMKE - transcript (automated).pdf","Transcript Link")</f>
        <v>Transcript Link</v>
      </c>
    </row>
    <row r="1679" ht="210" spans="1:13">
      <c r="A1679" s="1" t="s">
        <v>7565</v>
      </c>
      <c r="B1679" s="1" t="s">
        <v>13</v>
      </c>
      <c r="C1679" s="4" t="s">
        <v>7566</v>
      </c>
      <c r="D1679" s="1" t="s">
        <v>7567</v>
      </c>
      <c r="E1679" s="1" t="s">
        <v>7568</v>
      </c>
      <c r="F1679" s="4" t="s">
        <v>17</v>
      </c>
      <c r="G1679" s="1" t="s">
        <v>18</v>
      </c>
      <c r="H1679" s="1" t="s">
        <v>19</v>
      </c>
      <c r="I1679" s="1" t="s">
        <v>20</v>
      </c>
      <c r="J1679" s="1" t="s">
        <v>7569</v>
      </c>
      <c r="K1679" s="1" t="s">
        <v>22</v>
      </c>
      <c r="L1679" s="1" t="str">
        <f>HYPERLINK("https://files.afu.se/Downloads/Transcripts/0%20-%20Government/USA%20-%20NASA%20Kennedy/2010 02 05 - NASA's Kennedy Space Center - SDO Webcast_iNunR_PffsU - transcript (automated).pdf","Transcript Link")</f>
        <v>Transcript Link</v>
      </c>
      <c r="M1679" s="2" t="str">
        <f>HYPERLINK("https://files.afu.se/Downloads/Transcripts/0%20-%20Government/USA%20-%20NASA%20Kennedy/2010 02 05 - NASA's Kennedy Space Center - SDO Webcast_iNunR_PffsU - transcript (automated).pdf","Transcript Link")</f>
        <v>Transcript Link</v>
      </c>
    </row>
    <row r="1680" ht="180" spans="1:13">
      <c r="A1680" s="1" t="s">
        <v>7565</v>
      </c>
      <c r="B1680" s="1" t="s">
        <v>13</v>
      </c>
      <c r="C1680" s="4" t="s">
        <v>7570</v>
      </c>
      <c r="D1680" s="1" t="s">
        <v>7571</v>
      </c>
      <c r="E1680" s="1" t="s">
        <v>7572</v>
      </c>
      <c r="F1680" s="4" t="s">
        <v>17</v>
      </c>
      <c r="G1680" s="1" t="s">
        <v>18</v>
      </c>
      <c r="H1680" s="1" t="s">
        <v>19</v>
      </c>
      <c r="I1680" s="1" t="s">
        <v>20</v>
      </c>
      <c r="J1680" s="1" t="s">
        <v>7573</v>
      </c>
      <c r="K1680" s="1" t="s">
        <v>22</v>
      </c>
      <c r="L1680" s="1" t="str">
        <f>HYPERLINK("https://files.afu.se/Downloads/Transcripts/0%20-%20Government/USA%20-%20NASA%20Kennedy/2010 02 05 - NASA's Kennedy Space Center - SDO Spacecraft and Vehicle Flow_Cp8txp4VH4g - transcript (automated).pdf","Transcript Link")</f>
        <v>Transcript Link</v>
      </c>
      <c r="M1680" s="2" t="str">
        <f>HYPERLINK("https://files.afu.se/Downloads/Transcripts/0%20-%20Government/USA%20-%20NASA%20Kennedy/2010 02 05 - NASA's Kennedy Space Center - SDO Spacecraft and Vehicle Flow_Cp8txp4VH4g - transcript (automated).pdf","Transcript Link")</f>
        <v>Transcript Link</v>
      </c>
    </row>
    <row r="1681" ht="180" spans="1:13">
      <c r="A1681" s="1" t="s">
        <v>7574</v>
      </c>
      <c r="B1681" s="1" t="s">
        <v>13</v>
      </c>
      <c r="C1681" s="4" t="s">
        <v>7575</v>
      </c>
      <c r="D1681" s="1" t="s">
        <v>7576</v>
      </c>
      <c r="E1681" s="1" t="s">
        <v>7577</v>
      </c>
      <c r="F1681" s="4" t="s">
        <v>17</v>
      </c>
      <c r="G1681" s="1" t="s">
        <v>18</v>
      </c>
      <c r="H1681" s="1" t="s">
        <v>19</v>
      </c>
      <c r="I1681" s="1" t="s">
        <v>20</v>
      </c>
      <c r="J1681" s="1" t="s">
        <v>7578</v>
      </c>
      <c r="K1681" s="1" t="s">
        <v>22</v>
      </c>
      <c r="L1681" s="1" t="str">
        <f>HYPERLINK("https://files.afu.se/Downloads/Transcripts/0%20-%20Government/USA%20-%20NASA%20Kennedy/2010 01 29 - NASA's Kennedy Space Center - NASA's Day of Remembrance_mcgH4YFpYDI - transcript (automated).pdf","Transcript Link")</f>
        <v>Transcript Link</v>
      </c>
      <c r="M1681" s="2" t="str">
        <f>HYPERLINK("https://files.afu.se/Downloads/Transcripts/0%20-%20Government/USA%20-%20NASA%20Kennedy/2010 01 29 - NASA's Kennedy Space Center - NASA's Day of Remembrance_mcgH4YFpYDI - transcript (automated).pdf","Transcript Link")</f>
        <v>Transcript Link</v>
      </c>
    </row>
    <row r="1682" ht="180" spans="1:13">
      <c r="A1682" s="1" t="s">
        <v>7574</v>
      </c>
      <c r="B1682" s="1" t="s">
        <v>13</v>
      </c>
      <c r="C1682" s="4" t="s">
        <v>7579</v>
      </c>
      <c r="D1682" s="1" t="s">
        <v>7580</v>
      </c>
      <c r="E1682" s="1" t="s">
        <v>7581</v>
      </c>
      <c r="F1682" s="4" t="s">
        <v>17</v>
      </c>
      <c r="G1682" s="1" t="s">
        <v>18</v>
      </c>
      <c r="H1682" s="1" t="s">
        <v>19</v>
      </c>
      <c r="I1682" s="1" t="s">
        <v>20</v>
      </c>
      <c r="J1682" s="1" t="s">
        <v>7582</v>
      </c>
      <c r="K1682" s="1" t="s">
        <v>22</v>
      </c>
      <c r="L1682" s="1" t="str">
        <f>HYPERLINK("https://files.afu.se/Downloads/Transcripts/0%20-%20Government/USA%20-%20NASA%20Kennedy/2010 01 29 - NASA's Kennedy Space Center - Into The Clean Room_O7iwkKFAKzs - transcript (automated).pdf","Transcript Link")</f>
        <v>Transcript Link</v>
      </c>
      <c r="M1682" s="2" t="str">
        <f>HYPERLINK("https://files.afu.se/Downloads/Transcripts/0%20-%20Government/USA%20-%20NASA%20Kennedy/2010 01 29 - NASA's Kennedy Space Center - Into The Clean Room_O7iwkKFAKzs - transcript (automated).pdf","Transcript Link")</f>
        <v>Transcript Link</v>
      </c>
    </row>
    <row r="1683" ht="180" spans="1:13">
      <c r="A1683" s="1" t="s">
        <v>7583</v>
      </c>
      <c r="B1683" s="1" t="s">
        <v>13</v>
      </c>
      <c r="C1683" s="4" t="s">
        <v>7584</v>
      </c>
      <c r="D1683" s="1" t="s">
        <v>7585</v>
      </c>
      <c r="E1683" s="1" t="s">
        <v>7586</v>
      </c>
      <c r="F1683" s="4" t="s">
        <v>17</v>
      </c>
      <c r="G1683" s="1" t="s">
        <v>18</v>
      </c>
      <c r="H1683" s="1" t="s">
        <v>19</v>
      </c>
      <c r="I1683" s="1" t="s">
        <v>20</v>
      </c>
      <c r="J1683" s="1" t="s">
        <v>7587</v>
      </c>
      <c r="K1683" s="1" t="s">
        <v>22</v>
      </c>
      <c r="L1683" s="1" t="str">
        <f>HYPERLINK("https://files.afu.se/Downloads/Transcripts/0%20-%20Government/USA%20-%20NASA%20Kennedy/2010 01 22 - NASA's Kennedy Space Center - STS-130 TCDT_lxzDc4D4hjY - transcript (automated).pdf","Transcript Link")</f>
        <v>Transcript Link</v>
      </c>
      <c r="M1683" s="2" t="str">
        <f>HYPERLINK("https://files.afu.se/Downloads/Transcripts/0%20-%20Government/USA%20-%20NASA%20Kennedy/2010 01 22 - NASA's Kennedy Space Center - STS-130 TCDT_lxzDc4D4hjY - transcript (automated).pdf","Transcript Link")</f>
        <v>Transcript Link</v>
      </c>
    </row>
    <row r="1684" ht="195" spans="1:13">
      <c r="A1684" s="1" t="s">
        <v>7588</v>
      </c>
      <c r="B1684" s="1" t="s">
        <v>13</v>
      </c>
      <c r="C1684" s="4" t="s">
        <v>7589</v>
      </c>
      <c r="D1684" s="1" t="s">
        <v>7590</v>
      </c>
      <c r="E1684" s="1" t="s">
        <v>7591</v>
      </c>
      <c r="F1684" s="4" t="s">
        <v>17</v>
      </c>
      <c r="G1684" s="1" t="s">
        <v>18</v>
      </c>
      <c r="H1684" s="1" t="s">
        <v>19</v>
      </c>
      <c r="I1684" s="1" t="s">
        <v>20</v>
      </c>
      <c r="J1684" s="1" t="s">
        <v>7592</v>
      </c>
      <c r="K1684" s="1" t="s">
        <v>22</v>
      </c>
      <c r="L1684" s="1" t="str">
        <f>HYPERLINK("https://files.afu.se/Downloads/Transcripts/0%20-%20Government/USA%20-%20NASA%20Kennedy/2010 01 14 - NASA's Kennedy Space Center - STS-130 Rollout_O2C9XrkGS9M - transcript (automated).pdf","Transcript Link")</f>
        <v>Transcript Link</v>
      </c>
      <c r="M1684" s="2" t="str">
        <f>HYPERLINK("https://files.afu.se/Downloads/Transcripts/0%20-%20Government/USA%20-%20NASA%20Kennedy/2010 01 14 - NASA's Kennedy Space Center - STS-130 Rollout_O2C9XrkGS9M - transcript (automated).pdf","Transcript Link")</f>
        <v>Transcript Link</v>
      </c>
    </row>
    <row r="1685" ht="180" spans="1:13">
      <c r="A1685" s="1" t="s">
        <v>7593</v>
      </c>
      <c r="B1685" s="1" t="s">
        <v>13</v>
      </c>
      <c r="C1685" s="4" t="s">
        <v>7594</v>
      </c>
      <c r="D1685" s="1" t="s">
        <v>7595</v>
      </c>
      <c r="E1685" s="1" t="s">
        <v>7596</v>
      </c>
      <c r="F1685" s="4" t="s">
        <v>17</v>
      </c>
      <c r="G1685" s="1" t="s">
        <v>18</v>
      </c>
      <c r="H1685" s="1" t="s">
        <v>19</v>
      </c>
      <c r="I1685" s="1" t="s">
        <v>20</v>
      </c>
      <c r="J1685" s="1" t="s">
        <v>7597</v>
      </c>
      <c r="K1685" s="1" t="s">
        <v>22</v>
      </c>
      <c r="L1685" s="1" t="str">
        <f>HYPERLINK("https://files.afu.se/Downloads/Transcripts/0%20-%20Government/USA%20-%20NASA%20Kennedy/2009 12 18 - NASA's Kennedy Space Center - WISE Vehicle and Spacecraft Flow_3ZMXEjufCmY - transcript (automated).pdf","Transcript Link")</f>
        <v>Transcript Link</v>
      </c>
      <c r="M1685" s="2" t="str">
        <f>HYPERLINK("https://files.afu.se/Downloads/Transcripts/0%20-%20Government/USA%20-%20NASA%20Kennedy/2009 12 18 - NASA's Kennedy Space Center - WISE Vehicle and Spacecraft Flow_3ZMXEjufCmY - transcript (automated).pdf","Transcript Link")</f>
        <v>Transcript Link</v>
      </c>
    </row>
    <row r="1686" ht="195" spans="1:13">
      <c r="A1686" s="1" t="s">
        <v>7598</v>
      </c>
      <c r="B1686" s="1" t="s">
        <v>13</v>
      </c>
      <c r="C1686" s="4" t="s">
        <v>7599</v>
      </c>
      <c r="D1686" s="1" t="s">
        <v>7600</v>
      </c>
      <c r="E1686" s="1" t="s">
        <v>7601</v>
      </c>
      <c r="F1686" s="4" t="s">
        <v>17</v>
      </c>
      <c r="G1686" s="1" t="s">
        <v>18</v>
      </c>
      <c r="H1686" s="1" t="s">
        <v>19</v>
      </c>
      <c r="I1686" s="1" t="s">
        <v>20</v>
      </c>
      <c r="J1686" s="1" t="s">
        <v>7602</v>
      </c>
      <c r="K1686" s="1" t="s">
        <v>22</v>
      </c>
      <c r="L1686" s="1" t="str">
        <f>HYPERLINK("https://files.afu.se/Downloads/Transcripts/0%20-%20Government/USA%20-%20NASA%20Kennedy/2009 12 14 - NASA's Kennedy Space Center - WISE Launch_5uaFTurUOkI - transcript (automated).pdf","Transcript Link")</f>
        <v>Transcript Link</v>
      </c>
      <c r="M1686" s="2" t="str">
        <f>HYPERLINK("https://files.afu.se/Downloads/Transcripts/0%20-%20Government/USA%20-%20NASA%20Kennedy/2009 12 14 - NASA's Kennedy Space Center - WISE Launch_5uaFTurUOkI - transcript (automated).pdf","Transcript Link")</f>
        <v>Transcript Link</v>
      </c>
    </row>
    <row r="1687" ht="195" spans="1:13">
      <c r="A1687" s="1" t="s">
        <v>7603</v>
      </c>
      <c r="B1687" s="1" t="s">
        <v>13</v>
      </c>
      <c r="C1687" s="4" t="s">
        <v>7604</v>
      </c>
      <c r="D1687" s="1" t="s">
        <v>7605</v>
      </c>
      <c r="E1687" s="1" t="s">
        <v>7606</v>
      </c>
      <c r="F1687" s="4" t="s">
        <v>17</v>
      </c>
      <c r="G1687" s="1" t="s">
        <v>18</v>
      </c>
      <c r="H1687" s="1" t="s">
        <v>19</v>
      </c>
      <c r="I1687" s="1" t="s">
        <v>20</v>
      </c>
      <c r="J1687" s="1" t="s">
        <v>7607</v>
      </c>
      <c r="K1687" s="1" t="s">
        <v>22</v>
      </c>
      <c r="L1687" s="1" t="str">
        <f>HYPERLINK("https://files.afu.se/Downloads/Transcripts/0%20-%20Government/USA%20-%20NASA%20Kennedy/2009 12 11 - NASA's Kennedy Space Center - WISE Webcast_erHYPQLf8aw - transcript (automated).pdf","Transcript Link")</f>
        <v>Transcript Link</v>
      </c>
      <c r="M1687" s="2" t="str">
        <f>HYPERLINK("https://files.afu.se/Downloads/Transcripts/0%20-%20Government/USA%20-%20NASA%20Kennedy/2009 12 11 - NASA's Kennedy Space Center - WISE Webcast_erHYPQLf8aw - transcript (automated).pdf","Transcript Link")</f>
        <v>Transcript Link</v>
      </c>
    </row>
    <row r="1688" ht="180" spans="1:13">
      <c r="A1688" s="1" t="s">
        <v>7608</v>
      </c>
      <c r="B1688" s="1" t="s">
        <v>13</v>
      </c>
      <c r="C1688" s="4" t="s">
        <v>7609</v>
      </c>
      <c r="D1688" s="1" t="s">
        <v>7610</v>
      </c>
      <c r="E1688" s="1" t="s">
        <v>7611</v>
      </c>
      <c r="F1688" s="4" t="s">
        <v>17</v>
      </c>
      <c r="G1688" s="1" t="s">
        <v>18</v>
      </c>
      <c r="H1688" s="1" t="s">
        <v>19</v>
      </c>
      <c r="I1688" s="1" t="s">
        <v>20</v>
      </c>
      <c r="J1688" s="1" t="s">
        <v>7612</v>
      </c>
      <c r="K1688" s="1" t="s">
        <v>22</v>
      </c>
      <c r="L1688" s="1" t="str">
        <f>HYPERLINK("https://files.afu.se/Downloads/Transcripts/0%20-%20Government/USA%20-%20NASA%20Kennedy/2009 12 04 - NASA's Kennedy Space Center - STS-129  Station Resupply and Readiness_SnzF9AzfhaU - transcript (automated).pdf","Transcript Link")</f>
        <v>Transcript Link</v>
      </c>
      <c r="M1688" s="2" t="str">
        <f>HYPERLINK("https://files.afu.se/Downloads/Transcripts/0%20-%20Government/USA%20-%20NASA%20Kennedy/2009 12 04 - NASA's Kennedy Space Center - STS-129  Station Resupply and Readiness_SnzF9AzfhaU - transcript (automated).pdf","Transcript Link")</f>
        <v>Transcript Link</v>
      </c>
    </row>
    <row r="1689" ht="210" spans="1:13">
      <c r="A1689" s="1" t="s">
        <v>7613</v>
      </c>
      <c r="B1689" s="1" t="s">
        <v>13</v>
      </c>
      <c r="C1689" s="4" t="s">
        <v>7614</v>
      </c>
      <c r="D1689" s="1" t="s">
        <v>7615</v>
      </c>
      <c r="E1689" s="1" t="s">
        <v>7616</v>
      </c>
      <c r="F1689" s="4" t="s">
        <v>17</v>
      </c>
      <c r="G1689" s="1" t="s">
        <v>18</v>
      </c>
      <c r="H1689" s="1" t="s">
        <v>19</v>
      </c>
      <c r="I1689" s="1" t="s">
        <v>20</v>
      </c>
      <c r="J1689" s="1" t="s">
        <v>7617</v>
      </c>
      <c r="K1689" s="1" t="s">
        <v>22</v>
      </c>
      <c r="L1689" s="1" t="str">
        <f>HYPERLINK("https://files.afu.se/Downloads/Transcripts/0%20-%20Government/USA%20-%20NASA%20Kennedy/2009 12 02 - NASA's Kennedy Space Center - Nicole Stott's Journey Home  A First and a Last_ljtNVoR78J8 - transcript (automated).pdf","Transcript Link")</f>
        <v>Transcript Link</v>
      </c>
      <c r="M1689" s="2" t="str">
        <f>HYPERLINK("https://files.afu.se/Downloads/Transcripts/0%20-%20Government/USA%20-%20NASA%20Kennedy/2009 12 02 - NASA's Kennedy Space Center - Nicole Stott's Journey Home  A First and a Last_ljtNVoR78J8 - transcript (automated).pdf","Transcript Link")</f>
        <v>Transcript Link</v>
      </c>
    </row>
    <row r="1690" ht="180" spans="1:13">
      <c r="A1690" s="1" t="s">
        <v>7618</v>
      </c>
      <c r="B1690" s="1" t="s">
        <v>13</v>
      </c>
      <c r="C1690" s="4" t="s">
        <v>7619</v>
      </c>
      <c r="D1690" s="1" t="s">
        <v>7620</v>
      </c>
      <c r="E1690" s="1" t="s">
        <v>7621</v>
      </c>
      <c r="F1690" s="4" t="s">
        <v>17</v>
      </c>
      <c r="G1690" s="1" t="s">
        <v>18</v>
      </c>
      <c r="H1690" s="1" t="s">
        <v>19</v>
      </c>
      <c r="I1690" s="1" t="s">
        <v>20</v>
      </c>
      <c r="J1690" s="1" t="s">
        <v>7622</v>
      </c>
      <c r="K1690" s="1" t="s">
        <v>22</v>
      </c>
      <c r="L1690" s="1" t="str">
        <f>HYPERLINK("https://files.afu.se/Downloads/Transcripts/0%20-%20Government/USA%20-%20NASA%20Kennedy/2009 11 27 - NASA's Kennedy Space Center - STS-129 Astronaut Post Landing Activities_y3B4eZCWm7o - transcript (automated).pdf","Transcript Link")</f>
        <v>Transcript Link</v>
      </c>
      <c r="M1690" s="2" t="str">
        <f>HYPERLINK("https://files.afu.se/Downloads/Transcripts/0%20-%20Government/USA%20-%20NASA%20Kennedy/2009 11 27 - NASA's Kennedy Space Center - STS-129 Astronaut Post Landing Activities_y3B4eZCWm7o - transcript (automated).pdf","Transcript Link")</f>
        <v>Transcript Link</v>
      </c>
    </row>
    <row r="1691" ht="180" spans="1:13">
      <c r="A1691" s="1" t="s">
        <v>7618</v>
      </c>
      <c r="B1691" s="1" t="s">
        <v>13</v>
      </c>
      <c r="C1691" s="4" t="s">
        <v>7623</v>
      </c>
      <c r="D1691" s="1" t="s">
        <v>7624</v>
      </c>
      <c r="E1691" s="1" t="s">
        <v>7625</v>
      </c>
      <c r="F1691" s="4" t="s">
        <v>17</v>
      </c>
      <c r="G1691" s="1" t="s">
        <v>18</v>
      </c>
      <c r="H1691" s="1" t="s">
        <v>19</v>
      </c>
      <c r="I1691" s="1" t="s">
        <v>20</v>
      </c>
      <c r="J1691" s="1" t="s">
        <v>7626</v>
      </c>
      <c r="K1691" s="1" t="s">
        <v>22</v>
      </c>
      <c r="L1691" s="1" t="str">
        <f>HYPERLINK("https://files.afu.se/Downloads/Transcripts/0%20-%20Government/USA%20-%20NASA%20Kennedy/2009 11 27 - NASA's Kennedy Space Center - STS-129 Landing HD_Mk9qe5o5DnM - transcript (automated).pdf","Transcript Link")</f>
        <v>Transcript Link</v>
      </c>
      <c r="M1691" s="2" t="str">
        <f>HYPERLINK("https://files.afu.se/Downloads/Transcripts/0%20-%20Government/USA%20-%20NASA%20Kennedy/2009 11 27 - NASA's Kennedy Space Center - STS-129 Landing HD_Mk9qe5o5DnM - transcript (automated).pdf","Transcript Link")</f>
        <v>Transcript Link</v>
      </c>
    </row>
    <row r="1692" ht="180" spans="1:13">
      <c r="A1692" s="1" t="s">
        <v>7618</v>
      </c>
      <c r="B1692" s="1" t="s">
        <v>13</v>
      </c>
      <c r="C1692" s="4" t="s">
        <v>7627</v>
      </c>
      <c r="D1692" s="1" t="s">
        <v>7628</v>
      </c>
      <c r="E1692" s="1" t="s">
        <v>7629</v>
      </c>
      <c r="F1692" s="4" t="s">
        <v>17</v>
      </c>
      <c r="G1692" s="1" t="s">
        <v>18</v>
      </c>
      <c r="H1692" s="1" t="s">
        <v>19</v>
      </c>
      <c r="I1692" s="1" t="s">
        <v>20</v>
      </c>
      <c r="J1692" s="1" t="s">
        <v>7630</v>
      </c>
      <c r="K1692" s="1" t="s">
        <v>22</v>
      </c>
      <c r="L1692" s="1" t="str">
        <f>HYPERLINK("https://files.afu.se/Downloads/Transcripts/0%20-%20Government/USA%20-%20NASA%20Kennedy/2009 11 27 - NASA's Kennedy Space Center - STS-129 Call for deorbit burn_Jei02El3wpc - transcript (automated).pdf","Transcript Link")</f>
        <v>Transcript Link</v>
      </c>
      <c r="M1692" s="2" t="str">
        <f>HYPERLINK("https://files.afu.se/Downloads/Transcripts/0%20-%20Government/USA%20-%20NASA%20Kennedy/2009 11 27 - NASA's Kennedy Space Center - STS-129 Call for deorbit burn_Jei02El3wpc - transcript (automated).pdf","Transcript Link")</f>
        <v>Transcript Link</v>
      </c>
    </row>
    <row r="1693" ht="195" spans="1:13">
      <c r="A1693" s="1" t="s">
        <v>7631</v>
      </c>
      <c r="B1693" s="1" t="s">
        <v>13</v>
      </c>
      <c r="C1693" s="4" t="s">
        <v>7632</v>
      </c>
      <c r="D1693" s="1" t="s">
        <v>7633</v>
      </c>
      <c r="E1693" s="1" t="s">
        <v>7634</v>
      </c>
      <c r="F1693" s="4" t="s">
        <v>17</v>
      </c>
      <c r="G1693" s="1" t="s">
        <v>18</v>
      </c>
      <c r="H1693" s="1" t="s">
        <v>19</v>
      </c>
      <c r="I1693" s="1" t="s">
        <v>20</v>
      </c>
      <c r="J1693" s="1" t="s">
        <v>7635</v>
      </c>
      <c r="K1693" s="1" t="s">
        <v>22</v>
      </c>
      <c r="L1693" s="1" t="str">
        <f>HYPERLINK("https://files.afu.se/Downloads/Transcripts/0%20-%20Government/USA%20-%20NASA%20Kennedy/2009 11 23 - NASA's Kennedy Space Center - Solar Farms at Kennedy Space Center_dtE-RiUzAhk - transcript (automated).pdf","Transcript Link")</f>
        <v>Transcript Link</v>
      </c>
      <c r="M1693" s="2" t="str">
        <f>HYPERLINK("https://files.afu.se/Downloads/Transcripts/0%20-%20Government/USA%20-%20NASA%20Kennedy/2009 11 23 - NASA's Kennedy Space Center - Solar Farms at Kennedy Space Center_dtE-RiUzAhk - transcript (automated).pdf","Transcript Link")</f>
        <v>Transcript Link</v>
      </c>
    </row>
    <row r="1694" ht="180" spans="1:13">
      <c r="A1694" s="1" t="s">
        <v>7636</v>
      </c>
      <c r="B1694" s="1" t="s">
        <v>13</v>
      </c>
      <c r="C1694" s="4" t="s">
        <v>7637</v>
      </c>
      <c r="D1694" s="1" t="s">
        <v>7638</v>
      </c>
      <c r="E1694" s="1" t="s">
        <v>7639</v>
      </c>
      <c r="F1694" s="4" t="s">
        <v>17</v>
      </c>
      <c r="G1694" s="1" t="s">
        <v>18</v>
      </c>
      <c r="H1694" s="1" t="s">
        <v>19</v>
      </c>
      <c r="I1694" s="1" t="s">
        <v>20</v>
      </c>
      <c r="J1694" s="1" t="s">
        <v>7640</v>
      </c>
      <c r="K1694" s="1" t="s">
        <v>22</v>
      </c>
      <c r="L1694" s="1" t="str">
        <f>HYPERLINK("https://files.afu.se/Downloads/Transcripts/0%20-%20Government/USA%20-%20NASA%20Kennedy/2009 11 17 - NASA's Kennedy Space Center - STS-129 Launch Countdown Coverage Replay_PDwH9UlRIjc - transcript (automated).pdf","Transcript Link")</f>
        <v>Transcript Link</v>
      </c>
      <c r="M1694" s="2" t="str">
        <f>HYPERLINK("https://files.afu.se/Downloads/Transcripts/0%20-%20Government/USA%20-%20NASA%20Kennedy/2009 11 17 - NASA's Kennedy Space Center - STS-129 Launch Countdown Coverage Replay_PDwH9UlRIjc - transcript (automated).pdf","Transcript Link")</f>
        <v>Transcript Link</v>
      </c>
    </row>
    <row r="1695" ht="180" spans="1:13">
      <c r="A1695" s="1" t="s">
        <v>7636</v>
      </c>
      <c r="B1695" s="1" t="s">
        <v>13</v>
      </c>
      <c r="C1695" s="4" t="s">
        <v>7641</v>
      </c>
      <c r="D1695" s="1" t="s">
        <v>7638</v>
      </c>
      <c r="E1695" s="1" t="s">
        <v>7642</v>
      </c>
      <c r="F1695" s="4" t="s">
        <v>17</v>
      </c>
      <c r="G1695" s="1" t="s">
        <v>18</v>
      </c>
      <c r="H1695" s="1" t="s">
        <v>19</v>
      </c>
      <c r="I1695" s="1" t="s">
        <v>20</v>
      </c>
      <c r="J1695" s="1" t="s">
        <v>7643</v>
      </c>
      <c r="K1695" s="1" t="s">
        <v>22</v>
      </c>
      <c r="L1695" s="1" t="str">
        <f>HYPERLINK("https://files.afu.se/Downloads/Transcripts/0%20-%20Government/USA%20-%20NASA%20Kennedy/2009 11 17 - NASA's Kennedy Space Center - STS-129 Launch Countdown Coverage Replay_1drp3bFh4kk - transcript (automated).pdf","Transcript Link")</f>
        <v>Transcript Link</v>
      </c>
      <c r="M1695" s="2" t="str">
        <f>HYPERLINK("https://files.afu.se/Downloads/Transcripts/0%20-%20Government/USA%20-%20NASA%20Kennedy/2009 11 17 - NASA's Kennedy Space Center - STS-129 Launch Countdown Coverage Replay_1drp3bFh4kk - transcript (automated).pdf","Transcript Link")</f>
        <v>Transcript Link</v>
      </c>
    </row>
    <row r="1696" ht="180" spans="1:13">
      <c r="A1696" s="1" t="s">
        <v>7636</v>
      </c>
      <c r="B1696" s="1" t="s">
        <v>13</v>
      </c>
      <c r="C1696" s="4" t="s">
        <v>7644</v>
      </c>
      <c r="D1696" s="1" t="s">
        <v>7638</v>
      </c>
      <c r="E1696" s="1" t="s">
        <v>7645</v>
      </c>
      <c r="F1696" s="4" t="s">
        <v>17</v>
      </c>
      <c r="G1696" s="1" t="s">
        <v>18</v>
      </c>
      <c r="H1696" s="1" t="s">
        <v>19</v>
      </c>
      <c r="I1696" s="1" t="s">
        <v>20</v>
      </c>
      <c r="J1696" s="1" t="s">
        <v>7646</v>
      </c>
      <c r="K1696" s="1" t="s">
        <v>22</v>
      </c>
      <c r="L1696" s="1" t="str">
        <f>HYPERLINK("https://files.afu.se/Downloads/Transcripts/0%20-%20Government/USA%20-%20NASA%20Kennedy/2009 11 17 - NASA's Kennedy Space Center - STS-129 Launch Countdown Coverage Replay_PpxA8XSK3U0 - transcript (automated).pdf","Transcript Link")</f>
        <v>Transcript Link</v>
      </c>
      <c r="M1696" s="2" t="str">
        <f>HYPERLINK("https://files.afu.se/Downloads/Transcripts/0%20-%20Government/USA%20-%20NASA%20Kennedy/2009 11 17 - NASA's Kennedy Space Center - STS-129 Launch Countdown Coverage Replay_PpxA8XSK3U0 - transcript (automated).pdf","Transcript Link")</f>
        <v>Transcript Link</v>
      </c>
    </row>
    <row r="1697" ht="180" spans="1:13">
      <c r="A1697" s="1" t="s">
        <v>7636</v>
      </c>
      <c r="B1697" s="1" t="s">
        <v>13</v>
      </c>
      <c r="C1697" s="4" t="s">
        <v>7647</v>
      </c>
      <c r="D1697" s="1" t="s">
        <v>7638</v>
      </c>
      <c r="E1697" s="1" t="s">
        <v>7648</v>
      </c>
      <c r="F1697" s="4" t="s">
        <v>17</v>
      </c>
      <c r="G1697" s="1" t="s">
        <v>18</v>
      </c>
      <c r="H1697" s="1" t="s">
        <v>19</v>
      </c>
      <c r="I1697" s="1" t="s">
        <v>20</v>
      </c>
      <c r="J1697" s="1" t="s">
        <v>7649</v>
      </c>
      <c r="K1697" s="1" t="s">
        <v>22</v>
      </c>
      <c r="L1697" s="1" t="str">
        <f>HYPERLINK("https://files.afu.se/Downloads/Transcripts/0%20-%20Government/USA%20-%20NASA%20Kennedy/2009 11 17 - NASA's Kennedy Space Center - STS-129 Launch Countdown Coverage Replay_8K7J5qhuJ6A - transcript (automated).pdf","Transcript Link")</f>
        <v>Transcript Link</v>
      </c>
      <c r="M1697" s="2" t="str">
        <f>HYPERLINK("https://files.afu.se/Downloads/Transcripts/0%20-%20Government/USA%20-%20NASA%20Kennedy/2009 11 17 - NASA's Kennedy Space Center - STS-129 Launch Countdown Coverage Replay_8K7J5qhuJ6A - transcript (automated).pdf","Transcript Link")</f>
        <v>Transcript Link</v>
      </c>
    </row>
    <row r="1698" ht="180" spans="1:13">
      <c r="A1698" s="1" t="s">
        <v>7636</v>
      </c>
      <c r="B1698" s="1" t="s">
        <v>13</v>
      </c>
      <c r="C1698" s="4" t="s">
        <v>7650</v>
      </c>
      <c r="D1698" s="1" t="s">
        <v>7638</v>
      </c>
      <c r="E1698" s="1" t="s">
        <v>7651</v>
      </c>
      <c r="F1698" s="4" t="s">
        <v>17</v>
      </c>
      <c r="G1698" s="1" t="s">
        <v>18</v>
      </c>
      <c r="H1698" s="1" t="s">
        <v>19</v>
      </c>
      <c r="I1698" s="1" t="s">
        <v>20</v>
      </c>
      <c r="J1698" s="1" t="s">
        <v>7652</v>
      </c>
      <c r="K1698" s="1" t="s">
        <v>22</v>
      </c>
      <c r="L1698" s="1" t="str">
        <f>HYPERLINK("https://files.afu.se/Downloads/Transcripts/0%20-%20Government/USA%20-%20NASA%20Kennedy/2009 11 17 - NASA's Kennedy Space Center - STS-129 Launch Countdown Coverage Replay_82P5uJXTaOk - transcript (automated).pdf","Transcript Link")</f>
        <v>Transcript Link</v>
      </c>
      <c r="M1698" s="2" t="str">
        <f>HYPERLINK("https://files.afu.se/Downloads/Transcripts/0%20-%20Government/USA%20-%20NASA%20Kennedy/2009 11 17 - NASA's Kennedy Space Center - STS-129 Launch Countdown Coverage Replay_82P5uJXTaOk - transcript (automated).pdf","Transcript Link")</f>
        <v>Transcript Link</v>
      </c>
    </row>
    <row r="1699" ht="180" spans="1:13">
      <c r="A1699" s="1" t="s">
        <v>7636</v>
      </c>
      <c r="B1699" s="1" t="s">
        <v>13</v>
      </c>
      <c r="C1699" s="4" t="s">
        <v>7653</v>
      </c>
      <c r="D1699" s="1" t="s">
        <v>7638</v>
      </c>
      <c r="E1699" s="1" t="s">
        <v>7654</v>
      </c>
      <c r="F1699" s="4" t="s">
        <v>17</v>
      </c>
      <c r="G1699" s="1" t="s">
        <v>18</v>
      </c>
      <c r="H1699" s="1" t="s">
        <v>19</v>
      </c>
      <c r="I1699" s="1" t="s">
        <v>20</v>
      </c>
      <c r="J1699" s="1" t="s">
        <v>7655</v>
      </c>
      <c r="K1699" s="1" t="s">
        <v>22</v>
      </c>
      <c r="L1699" s="1" t="str">
        <f>HYPERLINK("https://files.afu.se/Downloads/Transcripts/0%20-%20Government/USA%20-%20NASA%20Kennedy/2009 11 17 - NASA's Kennedy Space Center - STS-129 Launch Countdown Coverage Replay_ObcL0BNL1_k - transcript (automated).pdf","Transcript Link")</f>
        <v>Transcript Link</v>
      </c>
      <c r="M1699" s="2" t="str">
        <f>HYPERLINK("https://files.afu.se/Downloads/Transcripts/0%20-%20Government/USA%20-%20NASA%20Kennedy/2009 11 17 - NASA's Kennedy Space Center - STS-129 Launch Countdown Coverage Replay_ObcL0BNL1_k - transcript (automated).pdf","Transcript Link")</f>
        <v>Transcript Link</v>
      </c>
    </row>
    <row r="1700" ht="180" spans="1:13">
      <c r="A1700" s="1" t="s">
        <v>7636</v>
      </c>
      <c r="B1700" s="1" t="s">
        <v>13</v>
      </c>
      <c r="C1700" s="4" t="s">
        <v>7656</v>
      </c>
      <c r="D1700" s="1" t="s">
        <v>7657</v>
      </c>
      <c r="E1700" s="1" t="s">
        <v>7658</v>
      </c>
      <c r="F1700" s="4" t="s">
        <v>17</v>
      </c>
      <c r="G1700" s="1" t="s">
        <v>18</v>
      </c>
      <c r="H1700" s="1" t="s">
        <v>19</v>
      </c>
      <c r="I1700" s="1" t="s">
        <v>20</v>
      </c>
      <c r="J1700" s="1" t="s">
        <v>7659</v>
      </c>
      <c r="K1700" s="1" t="s">
        <v>22</v>
      </c>
      <c r="L1700" s="1" t="str">
        <f>HYPERLINK("https://files.afu.se/Downloads/Transcripts/0%20-%20Government/USA%20-%20NASA%20Kennedy/2009 11 17 - NASA's Kennedy Space Center - STS-129 Launch Countdown Coverage Replays_JFWLM4rHUZk - transcript (automated).pdf","Transcript Link")</f>
        <v>Transcript Link</v>
      </c>
      <c r="M1700" s="2" t="str">
        <f>HYPERLINK("https://files.afu.se/Downloads/Transcripts/0%20-%20Government/USA%20-%20NASA%20Kennedy/2009 11 17 - NASA's Kennedy Space Center - STS-129 Launch Countdown Coverage Replays_JFWLM4rHUZk - transcript (automated).pdf","Transcript Link")</f>
        <v>Transcript Link</v>
      </c>
    </row>
    <row r="1701" ht="195" spans="1:13">
      <c r="A1701" s="1" t="s">
        <v>7660</v>
      </c>
      <c r="B1701" s="1" t="s">
        <v>13</v>
      </c>
      <c r="C1701" s="4" t="s">
        <v>7661</v>
      </c>
      <c r="D1701" s="1" t="s">
        <v>7662</v>
      </c>
      <c r="E1701" s="1" t="s">
        <v>7663</v>
      </c>
      <c r="F1701" s="4" t="s">
        <v>17</v>
      </c>
      <c r="G1701" s="1" t="s">
        <v>18</v>
      </c>
      <c r="H1701" s="1" t="s">
        <v>19</v>
      </c>
      <c r="I1701" s="1" t="s">
        <v>20</v>
      </c>
      <c r="J1701" s="1" t="s">
        <v>7664</v>
      </c>
      <c r="K1701" s="1" t="s">
        <v>22</v>
      </c>
      <c r="L1701" s="1" t="str">
        <f>HYPERLINK("https://files.afu.se/Downloads/Transcripts/0%20-%20Government/USA%20-%20NASA%20Kennedy/2009 11 16 - NASA's Kennedy Space Center - STS-129 Space Shuttle Launch_W0ltvXVJ5u4 - transcript (automated).pdf","Transcript Link")</f>
        <v>Transcript Link</v>
      </c>
      <c r="M1701" s="2" t="str">
        <f>HYPERLINK("https://files.afu.se/Downloads/Transcripts/0%20-%20Government/USA%20-%20NASA%20Kennedy/2009 11 16 - NASA's Kennedy Space Center - STS-129 Space Shuttle Launch_W0ltvXVJ5u4 - transcript (automated).pdf","Transcript Link")</f>
        <v>Transcript Link</v>
      </c>
    </row>
    <row r="1702" ht="180" spans="1:13">
      <c r="A1702" s="1" t="s">
        <v>7660</v>
      </c>
      <c r="B1702" s="1" t="s">
        <v>13</v>
      </c>
      <c r="C1702" s="4" t="s">
        <v>7665</v>
      </c>
      <c r="D1702" s="1" t="s">
        <v>7666</v>
      </c>
      <c r="E1702" s="1" t="s">
        <v>7667</v>
      </c>
      <c r="F1702" s="4" t="s">
        <v>17</v>
      </c>
      <c r="G1702" s="1" t="s">
        <v>18</v>
      </c>
      <c r="H1702" s="1" t="s">
        <v>19</v>
      </c>
      <c r="I1702" s="1" t="s">
        <v>20</v>
      </c>
      <c r="J1702" s="1" t="s">
        <v>7668</v>
      </c>
      <c r="K1702" s="1" t="s">
        <v>22</v>
      </c>
      <c r="L1702" s="1" t="str">
        <f>HYPERLINK("https://files.afu.se/Downloads/Transcripts/0%20-%20Government/USA%20-%20NASA%20Kennedy/2009 11 16 - NASA's Kennedy Space Center - STS-129 Space Shuttle External Tank Jettison_grC0HFhGA70 - transcript (automated).pdf","Transcript Link")</f>
        <v>Transcript Link</v>
      </c>
      <c r="M1702" s="2" t="str">
        <f>HYPERLINK("https://files.afu.se/Downloads/Transcripts/0%20-%20Government/USA%20-%20NASA%20Kennedy/2009 11 16 - NASA's Kennedy Space Center - STS-129 Space Shuttle External Tank Jettison_grC0HFhGA70 - transcript (automated).pdf","Transcript Link")</f>
        <v>Transcript Link</v>
      </c>
    </row>
    <row r="1703" ht="180" spans="1:13">
      <c r="A1703" s="1" t="s">
        <v>7660</v>
      </c>
      <c r="B1703" s="1" t="s">
        <v>13</v>
      </c>
      <c r="C1703" s="4" t="s">
        <v>7669</v>
      </c>
      <c r="D1703" s="1" t="s">
        <v>7670</v>
      </c>
      <c r="E1703" s="1" t="s">
        <v>7671</v>
      </c>
      <c r="F1703" s="4" t="s">
        <v>17</v>
      </c>
      <c r="G1703" s="1" t="s">
        <v>18</v>
      </c>
      <c r="H1703" s="1" t="s">
        <v>19</v>
      </c>
      <c r="I1703" s="1" t="s">
        <v>20</v>
      </c>
      <c r="J1703" s="1" t="s">
        <v>7672</v>
      </c>
      <c r="K1703" s="1" t="s">
        <v>22</v>
      </c>
      <c r="L1703" s="1" t="str">
        <f>HYPERLINK("https://files.afu.se/Downloads/Transcripts/0%20-%20Government/USA%20-%20NASA%20Kennedy/2009 11 16 - NASA's Kennedy Space Center - STS-129 Launch Countdown Coverage Farewell_F0sfUMnkItY - transcript (automated).pdf","Transcript Link")</f>
        <v>Transcript Link</v>
      </c>
      <c r="M1703" s="2" t="str">
        <f>HYPERLINK("https://files.afu.se/Downloads/Transcripts/0%20-%20Government/USA%20-%20NASA%20Kennedy/2009 11 16 - NASA's Kennedy Space Center - STS-129 Launch Countdown Coverage Farewell_F0sfUMnkItY - transcript (automated).pdf","Transcript Link")</f>
        <v>Transcript Link</v>
      </c>
    </row>
    <row r="1704" ht="180" spans="1:13">
      <c r="A1704" s="1" t="s">
        <v>7660</v>
      </c>
      <c r="B1704" s="1" t="s">
        <v>13</v>
      </c>
      <c r="C1704" s="4" t="s">
        <v>7673</v>
      </c>
      <c r="D1704" s="1" t="s">
        <v>7674</v>
      </c>
      <c r="E1704" s="1" t="s">
        <v>7675</v>
      </c>
      <c r="F1704" s="4" t="s">
        <v>17</v>
      </c>
      <c r="G1704" s="1" t="s">
        <v>18</v>
      </c>
      <c r="H1704" s="1" t="s">
        <v>19</v>
      </c>
      <c r="I1704" s="1" t="s">
        <v>20</v>
      </c>
      <c r="J1704" s="1" t="s">
        <v>7676</v>
      </c>
      <c r="K1704" s="1" t="s">
        <v>22</v>
      </c>
      <c r="L1704" s="1" t="str">
        <f>HYPERLINK("https://files.afu.se/Downloads/Transcripts/0%20-%20Government/USA%20-%20NASA%20Kennedy/2009 11 16 - NASA's Kennedy Space Center - STS-129 Launch Countdown Coverage Strap in_5VPAUXAbZ64 - transcript (automated).pdf","Transcript Link")</f>
        <v>Transcript Link</v>
      </c>
      <c r="M1704" s="2" t="str">
        <f>HYPERLINK("https://files.afu.se/Downloads/Transcripts/0%20-%20Government/USA%20-%20NASA%20Kennedy/2009 11 16 - NASA's Kennedy Space Center - STS-129 Launch Countdown Coverage Strap in_5VPAUXAbZ64 - transcript (automated).pdf","Transcript Link")</f>
        <v>Transcript Link</v>
      </c>
    </row>
    <row r="1705" ht="180" spans="1:13">
      <c r="A1705" s="1" t="s">
        <v>7660</v>
      </c>
      <c r="B1705" s="1" t="s">
        <v>13</v>
      </c>
      <c r="C1705" s="4" t="s">
        <v>7677</v>
      </c>
      <c r="D1705" s="1" t="s">
        <v>7678</v>
      </c>
      <c r="E1705" s="1" t="s">
        <v>7679</v>
      </c>
      <c r="F1705" s="4" t="s">
        <v>17</v>
      </c>
      <c r="G1705" s="1" t="s">
        <v>18</v>
      </c>
      <c r="H1705" s="1" t="s">
        <v>19</v>
      </c>
      <c r="I1705" s="1" t="s">
        <v>20</v>
      </c>
      <c r="J1705" s="1" t="s">
        <v>7680</v>
      </c>
      <c r="K1705" s="1" t="s">
        <v>22</v>
      </c>
      <c r="L1705" s="1" t="str">
        <f>HYPERLINK("https://files.afu.se/Downloads/Transcripts/0%20-%20Government/USA%20-%20NASA%20Kennedy/2009 11 16 - NASA's Kennedy Space Center - STS-129 Launch Countdown Coverage Suitup and Walkout_uXP3D4Ps5z0 - transcript (automated).pdf","Transcript Link")</f>
        <v>Transcript Link</v>
      </c>
      <c r="M1705" s="2" t="str">
        <f>HYPERLINK("https://files.afu.se/Downloads/Transcripts/0%20-%20Government/USA%20-%20NASA%20Kennedy/2009 11 16 - NASA's Kennedy Space Center - STS-129 Launch Countdown Coverage Suitup and Walkout_uXP3D4Ps5z0 - transcript (automated).pdf","Transcript Link")</f>
        <v>Transcript Link</v>
      </c>
    </row>
    <row r="1706" ht="180" spans="1:13">
      <c r="A1706" s="1" t="s">
        <v>7660</v>
      </c>
      <c r="B1706" s="1" t="s">
        <v>13</v>
      </c>
      <c r="C1706" s="4" t="s">
        <v>7681</v>
      </c>
      <c r="D1706" s="1" t="s">
        <v>7682</v>
      </c>
      <c r="E1706" s="1" t="s">
        <v>7683</v>
      </c>
      <c r="F1706" s="4" t="s">
        <v>17</v>
      </c>
      <c r="G1706" s="1" t="s">
        <v>18</v>
      </c>
      <c r="H1706" s="1" t="s">
        <v>19</v>
      </c>
      <c r="I1706" s="1" t="s">
        <v>20</v>
      </c>
      <c r="J1706" s="1" t="s">
        <v>7684</v>
      </c>
      <c r="K1706" s="1" t="s">
        <v>22</v>
      </c>
      <c r="L1706" s="1" t="str">
        <f>HYPERLINK("https://files.afu.se/Downloads/Transcripts/0%20-%20Government/USA%20-%20NASA%20Kennedy/2009 11 16 - NASA's Kennedy Space Center - STS-129 Launch Countdown Coverage Introduction_d-Lhf_PhlSQ - transcript (automated).pdf","Transcript Link")</f>
        <v>Transcript Link</v>
      </c>
      <c r="M1706" s="2" t="str">
        <f>HYPERLINK("https://files.afu.se/Downloads/Transcripts/0%20-%20Government/USA%20-%20NASA%20Kennedy/2009 11 16 - NASA's Kennedy Space Center - STS-129 Launch Countdown Coverage Introduction_d-Lhf_PhlSQ - transcript (automated).pdf","Transcript Link")</f>
        <v>Transcript Link</v>
      </c>
    </row>
    <row r="1707" ht="409.5" spans="1:13">
      <c r="A1707" s="1" t="s">
        <v>7685</v>
      </c>
      <c r="B1707" s="1" t="s">
        <v>13</v>
      </c>
      <c r="C1707" s="4" t="s">
        <v>7686</v>
      </c>
      <c r="D1707" s="1" t="s">
        <v>7687</v>
      </c>
      <c r="E1707" s="1" t="s">
        <v>7688</v>
      </c>
      <c r="F1707" s="4" t="s">
        <v>17</v>
      </c>
      <c r="G1707" s="1" t="s">
        <v>18</v>
      </c>
      <c r="H1707" s="1" t="s">
        <v>19</v>
      </c>
      <c r="I1707" s="1" t="s">
        <v>20</v>
      </c>
      <c r="J1707" s="1" t="s">
        <v>7689</v>
      </c>
      <c r="K1707" s="1" t="s">
        <v>22</v>
      </c>
      <c r="L1707" s="1" t="str">
        <f>HYPERLINK("https://files.afu.se/Downloads/Transcripts/0%20-%20Government/USA%20-%20NASA%20Kennedy/2009 11 13 - NASA's Kennedy Space Center - Emulsified Zero-Valent Iron Video Feature_5W5fYQT97XE - transcript (automated).pdf","Transcript Link")</f>
        <v>Transcript Link</v>
      </c>
      <c r="M1707" s="2" t="str">
        <f>HYPERLINK("https://files.afu.se/Downloads/Transcripts/0%20-%20Government/USA%20-%20NASA%20Kennedy/2009 11 13 - NASA's Kennedy Space Center - Emulsified Zero-Valent Iron Video Feature_5W5fYQT97XE - transcript (automated).pdf","Transcript Link")</f>
        <v>Transcript Link</v>
      </c>
    </row>
    <row r="1708" ht="195" spans="1:13">
      <c r="A1708" s="1" t="s">
        <v>7690</v>
      </c>
      <c r="B1708" s="1" t="s">
        <v>13</v>
      </c>
      <c r="C1708" s="4" t="s">
        <v>7691</v>
      </c>
      <c r="D1708" s="1" t="s">
        <v>7692</v>
      </c>
      <c r="E1708" s="1" t="s">
        <v>7693</v>
      </c>
      <c r="F1708" s="4" t="s">
        <v>17</v>
      </c>
      <c r="G1708" s="1" t="s">
        <v>18</v>
      </c>
      <c r="H1708" s="1" t="s">
        <v>19</v>
      </c>
      <c r="I1708" s="1" t="s">
        <v>20</v>
      </c>
      <c r="J1708" s="1" t="s">
        <v>7694</v>
      </c>
      <c r="K1708" s="1" t="s">
        <v>22</v>
      </c>
      <c r="L1708" s="1" t="str">
        <f>HYPERLINK("https://files.afu.se/Downloads/Transcripts/0%20-%20Government/USA%20-%20NASA%20Kennedy/2009 11 06 - NASA's Kennedy Space Center - STS-129 TCDT_rgJOVnr-LbY - transcript (automated).pdf","Transcript Link")</f>
        <v>Transcript Link</v>
      </c>
      <c r="M1708" s="2" t="str">
        <f>HYPERLINK("https://files.afu.se/Downloads/Transcripts/0%20-%20Government/USA%20-%20NASA%20Kennedy/2009 11 06 - NASA's Kennedy Space Center - STS-129 TCDT_rgJOVnr-LbY - transcript (automated).pdf","Transcript Link")</f>
        <v>Transcript Link</v>
      </c>
    </row>
    <row r="1709" ht="315" spans="1:13">
      <c r="A1709" s="1" t="s">
        <v>7695</v>
      </c>
      <c r="B1709" s="1" t="s">
        <v>13</v>
      </c>
      <c r="C1709" s="4" t="s">
        <v>7696</v>
      </c>
      <c r="D1709" s="1" t="s">
        <v>7697</v>
      </c>
      <c r="E1709" s="1" t="s">
        <v>7698</v>
      </c>
      <c r="F1709" s="4" t="s">
        <v>17</v>
      </c>
      <c r="G1709" s="1" t="s">
        <v>18</v>
      </c>
      <c r="H1709" s="1" t="s">
        <v>19</v>
      </c>
      <c r="I1709" s="1" t="s">
        <v>20</v>
      </c>
      <c r="J1709" s="1" t="s">
        <v>7699</v>
      </c>
      <c r="K1709" s="1" t="s">
        <v>22</v>
      </c>
      <c r="L1709" s="1" t="str">
        <f>HYPERLINK("https://files.afu.se/Downloads/Transcripts/0%20-%20Government/USA%20-%20NASA%20Kennedy/2009 11 03 - NASA's Kennedy Space Center - Ares I-X Aerial Footage_Ts2-J2VhAv0 - transcript (automated).pdf","Transcript Link")</f>
        <v>Transcript Link</v>
      </c>
      <c r="M1709" s="2" t="str">
        <f>HYPERLINK("https://files.afu.se/Downloads/Transcripts/0%20-%20Government/USA%20-%20NASA%20Kennedy/2009 11 03 - NASA's Kennedy Space Center - Ares I-X Aerial Footage_Ts2-J2VhAv0 - transcript (automated).pdf","Transcript Link")</f>
        <v>Transcript Link</v>
      </c>
    </row>
    <row r="1710" ht="195" spans="1:13">
      <c r="A1710" s="1" t="s">
        <v>7700</v>
      </c>
      <c r="B1710" s="1" t="s">
        <v>13</v>
      </c>
      <c r="C1710" s="4" t="s">
        <v>7701</v>
      </c>
      <c r="D1710" s="1" t="s">
        <v>7702</v>
      </c>
      <c r="E1710" s="1" t="s">
        <v>7703</v>
      </c>
      <c r="F1710" s="4" t="s">
        <v>17</v>
      </c>
      <c r="G1710" s="1" t="s">
        <v>18</v>
      </c>
      <c r="H1710" s="1" t="s">
        <v>19</v>
      </c>
      <c r="I1710" s="1" t="s">
        <v>20</v>
      </c>
      <c r="J1710" s="1" t="s">
        <v>7704</v>
      </c>
      <c r="K1710" s="1" t="s">
        <v>22</v>
      </c>
      <c r="L1710" s="1" t="str">
        <f>HYPERLINK("https://files.afu.se/Downloads/Transcripts/0%20-%20Government/USA%20-%20NASA%20Kennedy/2009 10 28 - NASA's Kennedy Space Center - ARES I-X Launch_H0ZHzAvFuYc - transcript (automated).pdf","Transcript Link")</f>
        <v>Transcript Link</v>
      </c>
      <c r="M1710" s="2" t="str">
        <f>HYPERLINK("https://files.afu.se/Downloads/Transcripts/0%20-%20Government/USA%20-%20NASA%20Kennedy/2009 10 28 - NASA's Kennedy Space Center - ARES I-X Launch_H0ZHzAvFuYc - transcript (automated).pdf","Transcript Link")</f>
        <v>Transcript Link</v>
      </c>
    </row>
    <row r="1711" ht="180" spans="1:13">
      <c r="A1711" s="1" t="s">
        <v>7700</v>
      </c>
      <c r="B1711" s="1" t="s">
        <v>13</v>
      </c>
      <c r="C1711" s="4" t="s">
        <v>7705</v>
      </c>
      <c r="D1711" s="1" t="s">
        <v>7706</v>
      </c>
      <c r="E1711" s="1" t="s">
        <v>7707</v>
      </c>
      <c r="F1711" s="4" t="s">
        <v>17</v>
      </c>
      <c r="G1711" s="1" t="s">
        <v>18</v>
      </c>
      <c r="H1711" s="1" t="s">
        <v>19</v>
      </c>
      <c r="I1711" s="1" t="s">
        <v>20</v>
      </c>
      <c r="J1711" s="1" t="s">
        <v>7708</v>
      </c>
      <c r="K1711" s="1" t="s">
        <v>22</v>
      </c>
      <c r="L1711" s="1" t="str">
        <f>HYPERLINK("https://files.afu.se/Downloads/Transcripts/0%20-%20Government/USA%20-%20NASA%20Kennedy/2009 10 28 - NASA's Kennedy Space Center - ARES I-X Countdown Coverage Introduction_ZNdhcJRaA3w - transcript (automated).pdf","Transcript Link")</f>
        <v>Transcript Link</v>
      </c>
      <c r="M1711" s="2" t="str">
        <f>HYPERLINK("https://files.afu.se/Downloads/Transcripts/0%20-%20Government/USA%20-%20NASA%20Kennedy/2009 10 28 - NASA's Kennedy Space Center - ARES I-X Countdown Coverage Introduction_ZNdhcJRaA3w - transcript (automated).pdf","Transcript Link")</f>
        <v>Transcript Link</v>
      </c>
    </row>
    <row r="1712" ht="180" spans="1:13">
      <c r="A1712" s="1" t="s">
        <v>7709</v>
      </c>
      <c r="B1712" s="1" t="s">
        <v>13</v>
      </c>
      <c r="C1712" s="4" t="s">
        <v>7710</v>
      </c>
      <c r="D1712" s="1" t="s">
        <v>7711</v>
      </c>
      <c r="E1712" s="1" t="s">
        <v>7712</v>
      </c>
      <c r="F1712" s="4" t="s">
        <v>17</v>
      </c>
      <c r="G1712" s="1" t="s">
        <v>18</v>
      </c>
      <c r="H1712" s="1" t="s">
        <v>19</v>
      </c>
      <c r="I1712" s="1" t="s">
        <v>20</v>
      </c>
      <c r="J1712" s="1" t="s">
        <v>7713</v>
      </c>
      <c r="K1712" s="1" t="s">
        <v>22</v>
      </c>
      <c r="L1712" s="1" t="str">
        <f>HYPERLINK("https://files.afu.se/Downloads/Transcripts/0%20-%20Government/USA%20-%20NASA%20Kennedy/2009 10 27 - NASA's Kennedy Space Center - ARES I-X Countdown Coverage Scrub_UilV8Xrlt4Q - transcript (automated).pdf","Transcript Link")</f>
        <v>Transcript Link</v>
      </c>
      <c r="M1712" s="2" t="str">
        <f>HYPERLINK("https://files.afu.se/Downloads/Transcripts/0%20-%20Government/USA%20-%20NASA%20Kennedy/2009 10 27 - NASA's Kennedy Space Center - ARES I-X Countdown Coverage Scrub_UilV8Xrlt4Q - transcript (automated).pdf","Transcript Link")</f>
        <v>Transcript Link</v>
      </c>
    </row>
    <row r="1713" ht="180" spans="1:13">
      <c r="A1713" s="1" t="s">
        <v>7709</v>
      </c>
      <c r="B1713" s="1" t="s">
        <v>13</v>
      </c>
      <c r="C1713" s="4" t="s">
        <v>7714</v>
      </c>
      <c r="D1713" s="1" t="s">
        <v>7715</v>
      </c>
      <c r="E1713" s="1" t="s">
        <v>7716</v>
      </c>
      <c r="F1713" s="4" t="s">
        <v>17</v>
      </c>
      <c r="G1713" s="1" t="s">
        <v>18</v>
      </c>
      <c r="H1713" s="1" t="s">
        <v>19</v>
      </c>
      <c r="I1713" s="1" t="s">
        <v>20</v>
      </c>
      <c r="J1713" s="1" t="s">
        <v>7717</v>
      </c>
      <c r="K1713" s="1" t="s">
        <v>22</v>
      </c>
      <c r="L1713" s="1" t="str">
        <f>HYPERLINK("https://files.afu.se/Downloads/Transcripts/0%20-%20Government/USA%20-%20NASA%20Kennedy/2009 10 27 - NASA's Kennedy Space Center - ARES I-X Countdown Coverage Jon Cowart Launch Status Update_6lI7kXgSLbQ - transcript (automated).pdf","Transcript Link")</f>
        <v>Transcript Link</v>
      </c>
      <c r="M1713" s="2" t="str">
        <f>HYPERLINK("https://files.afu.se/Downloads/Transcripts/0%20-%20Government/USA%20-%20NASA%20Kennedy/2009 10 27 - NASA's Kennedy Space Center - ARES I-X Countdown Coverage Jon Cowart Launch Status Update_6lI7kXgSLbQ - transcript (automated).pdf","Transcript Link")</f>
        <v>Transcript Link</v>
      </c>
    </row>
    <row r="1714" ht="180" spans="1:13">
      <c r="A1714" s="1" t="s">
        <v>7709</v>
      </c>
      <c r="B1714" s="1" t="s">
        <v>13</v>
      </c>
      <c r="C1714" s="4" t="s">
        <v>7718</v>
      </c>
      <c r="D1714" s="1" t="s">
        <v>7719</v>
      </c>
      <c r="E1714" s="1" t="s">
        <v>7720</v>
      </c>
      <c r="F1714" s="4" t="s">
        <v>17</v>
      </c>
      <c r="G1714" s="1" t="s">
        <v>18</v>
      </c>
      <c r="H1714" s="1" t="s">
        <v>19</v>
      </c>
      <c r="I1714" s="1" t="s">
        <v>20</v>
      </c>
      <c r="J1714" s="1" t="s">
        <v>7721</v>
      </c>
      <c r="K1714" s="1" t="s">
        <v>22</v>
      </c>
      <c r="L1714" s="1" t="str">
        <f>HYPERLINK("https://files.afu.se/Downloads/Transcripts/0%20-%20Government/USA%20-%20NASA%20Kennedy/2009 10 27 - NASA's Kennedy Space Center - ARES I-X Countdown Coverage Polling and Probe Cover Removal_AGR1wueBNkk - transcript (automated).pdf","Transcript Link")</f>
        <v>Transcript Link</v>
      </c>
      <c r="M1714" s="2" t="str">
        <f>HYPERLINK("https://files.afu.se/Downloads/Transcripts/0%20-%20Government/USA%20-%20NASA%20Kennedy/2009 10 27 - NASA's Kennedy Space Center - ARES I-X Countdown Coverage Polling and Probe Cover Removal_AGR1wueBNkk - transcript (automated).pdf","Transcript Link")</f>
        <v>Transcript Link</v>
      </c>
    </row>
    <row r="1715" ht="180" spans="1:13">
      <c r="A1715" s="1" t="s">
        <v>7709</v>
      </c>
      <c r="B1715" s="1" t="s">
        <v>13</v>
      </c>
      <c r="C1715" s="4" t="s">
        <v>7722</v>
      </c>
      <c r="D1715" s="1" t="s">
        <v>7723</v>
      </c>
      <c r="E1715" s="1" t="s">
        <v>7716</v>
      </c>
      <c r="F1715" s="4" t="s">
        <v>17</v>
      </c>
      <c r="G1715" s="1" t="s">
        <v>18</v>
      </c>
      <c r="H1715" s="1" t="s">
        <v>19</v>
      </c>
      <c r="I1715" s="1" t="s">
        <v>20</v>
      </c>
      <c r="J1715" s="1" t="s">
        <v>7724</v>
      </c>
      <c r="K1715" s="1" t="s">
        <v>22</v>
      </c>
      <c r="L1715" s="1" t="str">
        <f>HYPERLINK("https://files.afu.se/Downloads/Transcripts/0%20-%20Government/USA%20-%20NASA%20Kennedy/2009 10 27 - NASA's Kennedy Space Center - ARES I-X Countdown Coverage Interview with Jon Cowart_dCpZ0D_Rvus - transcript (automated).pdf","Transcript Link")</f>
        <v>Transcript Link</v>
      </c>
      <c r="M1715" s="2" t="str">
        <f>HYPERLINK("https://files.afu.se/Downloads/Transcripts/0%20-%20Government/USA%20-%20NASA%20Kennedy/2009 10 27 - NASA's Kennedy Space Center - ARES I-X Countdown Coverage Interview with Jon Cowart_dCpZ0D_Rvus - transcript (automated).pdf","Transcript Link")</f>
        <v>Transcript Link</v>
      </c>
    </row>
    <row r="1716" ht="180" spans="1:13">
      <c r="A1716" s="1" t="s">
        <v>7709</v>
      </c>
      <c r="B1716" s="1" t="s">
        <v>13</v>
      </c>
      <c r="C1716" s="4" t="s">
        <v>7725</v>
      </c>
      <c r="D1716" s="1" t="s">
        <v>7726</v>
      </c>
      <c r="E1716" s="1" t="s">
        <v>7727</v>
      </c>
      <c r="F1716" s="4" t="s">
        <v>17</v>
      </c>
      <c r="G1716" s="1" t="s">
        <v>18</v>
      </c>
      <c r="H1716" s="1" t="s">
        <v>19</v>
      </c>
      <c r="I1716" s="1" t="s">
        <v>20</v>
      </c>
      <c r="J1716" s="1" t="s">
        <v>7728</v>
      </c>
      <c r="K1716" s="1" t="s">
        <v>22</v>
      </c>
      <c r="L1716" s="1" t="str">
        <f>HYPERLINK("https://files.afu.se/Downloads/Transcripts/0%20-%20Government/USA%20-%20NASA%20Kennedy/2009 10 27 - NASA's Kennedy Space Center - ARES I-X Countdown Coverage Interview with Terry McGugin_xckreOVh6KQ - transcript (automated).pdf","Transcript Link")</f>
        <v>Transcript Link</v>
      </c>
      <c r="M1716" s="2" t="str">
        <f>HYPERLINK("https://files.afu.se/Downloads/Transcripts/0%20-%20Government/USA%20-%20NASA%20Kennedy/2009 10 27 - NASA's Kennedy Space Center - ARES I-X Countdown Coverage Interview with Terry McGugin_xckreOVh6KQ - transcript (automated).pdf","Transcript Link")</f>
        <v>Transcript Link</v>
      </c>
    </row>
    <row r="1717" ht="210" spans="1:13">
      <c r="A1717" s="1" t="s">
        <v>7729</v>
      </c>
      <c r="B1717" s="1" t="s">
        <v>13</v>
      </c>
      <c r="C1717" s="4" t="s">
        <v>7730</v>
      </c>
      <c r="D1717" s="1" t="s">
        <v>7731</v>
      </c>
      <c r="E1717" s="1" t="s">
        <v>7732</v>
      </c>
      <c r="F1717" s="4" t="s">
        <v>17</v>
      </c>
      <c r="G1717" s="1" t="s">
        <v>18</v>
      </c>
      <c r="H1717" s="1" t="s">
        <v>19</v>
      </c>
      <c r="I1717" s="1" t="s">
        <v>20</v>
      </c>
      <c r="J1717" s="1" t="s">
        <v>7733</v>
      </c>
      <c r="K1717" s="1" t="s">
        <v>22</v>
      </c>
      <c r="L1717" s="1" t="str">
        <f>HYPERLINK("https://files.afu.se/Downloads/Transcripts/0%20-%20Government/USA%20-%20NASA%20Kennedy/2009 10 26 - NASA's Kennedy Space Center - I-X Building on NASA's Famous First Flights_lli_ANKU8Yc - transcript (automated).pdf","Transcript Link")</f>
        <v>Transcript Link</v>
      </c>
      <c r="M1717" s="2" t="str">
        <f>HYPERLINK("https://files.afu.se/Downloads/Transcripts/0%20-%20Government/USA%20-%20NASA%20Kennedy/2009 10 26 - NASA's Kennedy Space Center - I-X Building on NASA's Famous First Flights_lli_ANKU8Yc - transcript (automated).pdf","Transcript Link")</f>
        <v>Transcript Link</v>
      </c>
    </row>
    <row r="1718" ht="180" spans="1:13">
      <c r="A1718" s="1" t="s">
        <v>7734</v>
      </c>
      <c r="B1718" s="1" t="s">
        <v>13</v>
      </c>
      <c r="C1718" s="4" t="s">
        <v>7735</v>
      </c>
      <c r="D1718" s="1" t="s">
        <v>7736</v>
      </c>
      <c r="E1718" s="1" t="s">
        <v>7737</v>
      </c>
      <c r="F1718" s="4" t="s">
        <v>17</v>
      </c>
      <c r="G1718" s="1" t="s">
        <v>18</v>
      </c>
      <c r="H1718" s="1" t="s">
        <v>19</v>
      </c>
      <c r="I1718" s="1" t="s">
        <v>20</v>
      </c>
      <c r="J1718" s="1" t="s">
        <v>7738</v>
      </c>
      <c r="K1718" s="1" t="s">
        <v>22</v>
      </c>
      <c r="L1718" s="1" t="str">
        <f>HYPERLINK("https://files.afu.se/Downloads/Transcripts/0%20-%20Government/USA%20-%20NASA%20Kennedy/2009 10 20 - NASA's Kennedy Space Center - International Space Station passing over Kennedy Space Center_3DGyY3rOrRw - transcript (automated).pdf","Transcript Link")</f>
        <v>Transcript Link</v>
      </c>
      <c r="M1718" s="2" t="str">
        <f>HYPERLINK("https://files.afu.se/Downloads/Transcripts/0%20-%20Government/USA%20-%20NASA%20Kennedy/2009 10 20 - NASA's Kennedy Space Center - International Space Station passing over Kennedy Space Center_3DGyY3rOrRw - transcript (automated).pdf","Transcript Link")</f>
        <v>Transcript Link</v>
      </c>
    </row>
    <row r="1719" ht="180" spans="1:13">
      <c r="A1719" s="1" t="s">
        <v>7739</v>
      </c>
      <c r="B1719" s="1" t="s">
        <v>13</v>
      </c>
      <c r="C1719" s="4" t="s">
        <v>7740</v>
      </c>
      <c r="D1719" s="1" t="s">
        <v>7741</v>
      </c>
      <c r="E1719" s="1" t="s">
        <v>5710</v>
      </c>
      <c r="F1719" s="4" t="s">
        <v>17</v>
      </c>
      <c r="G1719" s="1" t="s">
        <v>18</v>
      </c>
      <c r="H1719" s="1" t="s">
        <v>19</v>
      </c>
      <c r="I1719" s="1" t="s">
        <v>20</v>
      </c>
      <c r="J1719" s="1" t="s">
        <v>7742</v>
      </c>
      <c r="K1719" s="1" t="s">
        <v>22</v>
      </c>
      <c r="L1719" s="1" t="str">
        <f>HYPERLINK("https://files.afu.se/Downloads/Transcripts/0%20-%20Government/USA%20-%20NASA%20Kennedy/2009 10 16 - NASA's Kennedy Space Center - STS-129 Rollout Time Lapse_fPHNqLCvqHw - transcript (automated).pdf","Transcript Link")</f>
        <v>Transcript Link</v>
      </c>
      <c r="M1719" s="2" t="str">
        <f>HYPERLINK("https://files.afu.se/Downloads/Transcripts/0%20-%20Government/USA%20-%20NASA%20Kennedy/2009 10 16 - NASA's Kennedy Space Center - STS-129 Rollout Time Lapse_fPHNqLCvqHw - transcript (automated).pdf","Transcript Link")</f>
        <v>Transcript Link</v>
      </c>
    </row>
    <row r="1720" ht="195" spans="1:13">
      <c r="A1720" s="1" t="s">
        <v>7739</v>
      </c>
      <c r="B1720" s="1" t="s">
        <v>13</v>
      </c>
      <c r="C1720" s="4" t="s">
        <v>7743</v>
      </c>
      <c r="D1720" s="1" t="s">
        <v>7744</v>
      </c>
      <c r="E1720" s="1" t="s">
        <v>7745</v>
      </c>
      <c r="F1720" s="4" t="s">
        <v>17</v>
      </c>
      <c r="G1720" s="1" t="s">
        <v>18</v>
      </c>
      <c r="H1720" s="1" t="s">
        <v>19</v>
      </c>
      <c r="I1720" s="1" t="s">
        <v>20</v>
      </c>
      <c r="J1720" s="1" t="s">
        <v>7746</v>
      </c>
      <c r="K1720" s="1" t="s">
        <v>22</v>
      </c>
      <c r="L1720" s="1" t="str">
        <f>HYPERLINK("https://files.afu.se/Downloads/Transcripts/0%20-%20Government/USA%20-%20NASA%20Kennedy/2009 10 16 - NASA's Kennedy Space Center - STS-129 Rolls to the Launch Pad_NGfQMMu5Hc4 - transcript (automated).pdf","Transcript Link")</f>
        <v>Transcript Link</v>
      </c>
      <c r="M1720" s="2" t="str">
        <f>HYPERLINK("https://files.afu.se/Downloads/Transcripts/0%20-%20Government/USA%20-%20NASA%20Kennedy/2009 10 16 - NASA's Kennedy Space Center - STS-129 Rolls to the Launch Pad_NGfQMMu5Hc4 - transcript (automated).pdf","Transcript Link")</f>
        <v>Transcript Link</v>
      </c>
    </row>
    <row r="1721" ht="180" spans="1:13">
      <c r="A1721" s="1" t="s">
        <v>7747</v>
      </c>
      <c r="B1721" s="1" t="s">
        <v>13</v>
      </c>
      <c r="C1721" s="4" t="s">
        <v>7748</v>
      </c>
      <c r="D1721" s="1" t="s">
        <v>7749</v>
      </c>
      <c r="E1721" s="1" t="s">
        <v>7750</v>
      </c>
      <c r="F1721" s="4" t="s">
        <v>17</v>
      </c>
      <c r="G1721" s="1" t="s">
        <v>18</v>
      </c>
      <c r="H1721" s="1" t="s">
        <v>19</v>
      </c>
      <c r="I1721" s="1" t="s">
        <v>20</v>
      </c>
      <c r="J1721" s="1" t="s">
        <v>7751</v>
      </c>
      <c r="K1721" s="1" t="s">
        <v>22</v>
      </c>
      <c r="L1721" s="1">
        <v>0</v>
      </c>
      <c r="M1721" s="2">
        <v>0</v>
      </c>
    </row>
    <row r="1722" ht="195" spans="1:13">
      <c r="A1722" s="1" t="s">
        <v>7752</v>
      </c>
      <c r="B1722" s="1" t="s">
        <v>13</v>
      </c>
      <c r="C1722" s="4" t="s">
        <v>7753</v>
      </c>
      <c r="D1722" s="1" t="s">
        <v>7754</v>
      </c>
      <c r="E1722" s="1" t="s">
        <v>7755</v>
      </c>
      <c r="F1722" s="4" t="s">
        <v>17</v>
      </c>
      <c r="G1722" s="1" t="s">
        <v>18</v>
      </c>
      <c r="H1722" s="1" t="s">
        <v>19</v>
      </c>
      <c r="I1722" s="1" t="s">
        <v>20</v>
      </c>
      <c r="J1722" s="1" t="s">
        <v>7756</v>
      </c>
      <c r="K1722" s="1" t="s">
        <v>22</v>
      </c>
      <c r="L1722" s="1" t="str">
        <f>HYPERLINK("https://files.afu.se/Downloads/Transcripts/0%20-%20Government/USA%20-%20NASA%20Kennedy/2009 09 25 - NASA's Kennedy Space Center - STSS-Demo Launch_CzXsBGKoPDE - transcript (automated).pdf","Transcript Link")</f>
        <v>Transcript Link</v>
      </c>
      <c r="M1722" s="2" t="str">
        <f>HYPERLINK("https://files.afu.se/Downloads/Transcripts/0%20-%20Government/USA%20-%20NASA%20Kennedy/2009 09 25 - NASA's Kennedy Space Center - STSS-Demo Launch_CzXsBGKoPDE - transcript (automated).pdf","Transcript Link")</f>
        <v>Transcript Link</v>
      </c>
    </row>
    <row r="1723" ht="180" spans="1:13">
      <c r="A1723" s="1" t="s">
        <v>7752</v>
      </c>
      <c r="B1723" s="1" t="s">
        <v>13</v>
      </c>
      <c r="C1723" s="4" t="s">
        <v>7757</v>
      </c>
      <c r="D1723" s="1" t="s">
        <v>7758</v>
      </c>
      <c r="E1723" s="1" t="s">
        <v>7759</v>
      </c>
      <c r="F1723" s="4" t="s">
        <v>17</v>
      </c>
      <c r="G1723" s="1" t="s">
        <v>18</v>
      </c>
      <c r="H1723" s="1" t="s">
        <v>19</v>
      </c>
      <c r="I1723" s="1" t="s">
        <v>20</v>
      </c>
      <c r="J1723" s="1" t="s">
        <v>7760</v>
      </c>
      <c r="K1723" s="1" t="s">
        <v>22</v>
      </c>
      <c r="L1723" s="1" t="str">
        <f>HYPERLINK("https://files.afu.se/Downloads/Transcripts/0%20-%20Government/USA%20-%20NASA%20Kennedy/2009 09 25 - NASA's Kennedy Space Center - STS-128 Discovery Demate at Shuttle Landing Facility_NfvWf9-ohIg - transcript (automated).pdf","Transcript Link")</f>
        <v>Transcript Link</v>
      </c>
      <c r="M1723" s="2" t="str">
        <f>HYPERLINK("https://files.afu.se/Downloads/Transcripts/0%20-%20Government/USA%20-%20NASA%20Kennedy/2009 09 25 - NASA's Kennedy Space Center - STS-128 Discovery Demate at Shuttle Landing Facility_NfvWf9-ohIg - transcript (automated).pdf","Transcript Link")</f>
        <v>Transcript Link</v>
      </c>
    </row>
    <row r="1724" ht="180" spans="1:13">
      <c r="A1724" s="1" t="s">
        <v>7761</v>
      </c>
      <c r="B1724" s="1" t="s">
        <v>13</v>
      </c>
      <c r="C1724" s="4" t="s">
        <v>7762</v>
      </c>
      <c r="D1724" s="1" t="s">
        <v>7763</v>
      </c>
      <c r="E1724" s="1" t="s">
        <v>7764</v>
      </c>
      <c r="F1724" s="4" t="s">
        <v>17</v>
      </c>
      <c r="G1724" s="1" t="s">
        <v>18</v>
      </c>
      <c r="H1724" s="1" t="s">
        <v>19</v>
      </c>
      <c r="I1724" s="1" t="s">
        <v>20</v>
      </c>
      <c r="J1724" s="1" t="s">
        <v>7765</v>
      </c>
      <c r="K1724" s="1" t="s">
        <v>22</v>
      </c>
      <c r="L1724" s="1" t="str">
        <f>HYPERLINK("https://files.afu.se/Downloads/Transcripts/0%20-%20Government/USA%20-%20NASA%20Kennedy/2009 09 24 - NASA's Kennedy Space Center - ARES I-X Time Lapse Arrival &amp; Stacking on MLP_dpyKTRsGExI - transcript (automated).pdf","Transcript Link")</f>
        <v>Transcript Link</v>
      </c>
      <c r="M1724" s="2" t="str">
        <f>HYPERLINK("https://files.afu.se/Downloads/Transcripts/0%20-%20Government/USA%20-%20NASA%20Kennedy/2009 09 24 - NASA's Kennedy Space Center - ARES I-X Time Lapse Arrival &amp; Stacking on MLP_dpyKTRsGExI - transcript (automated).pdf","Transcript Link")</f>
        <v>Transcript Link</v>
      </c>
    </row>
    <row r="1725" ht="180" spans="1:13">
      <c r="A1725" s="1" t="s">
        <v>7761</v>
      </c>
      <c r="B1725" s="1" t="s">
        <v>13</v>
      </c>
      <c r="C1725" s="4" t="s">
        <v>7766</v>
      </c>
      <c r="D1725" s="1" t="s">
        <v>7767</v>
      </c>
      <c r="E1725" s="1" t="s">
        <v>7768</v>
      </c>
      <c r="F1725" s="4" t="s">
        <v>17</v>
      </c>
      <c r="G1725" s="1" t="s">
        <v>18</v>
      </c>
      <c r="H1725" s="1" t="s">
        <v>19</v>
      </c>
      <c r="I1725" s="1" t="s">
        <v>20</v>
      </c>
      <c r="J1725" s="1" t="s">
        <v>7769</v>
      </c>
      <c r="K1725" s="1" t="s">
        <v>22</v>
      </c>
      <c r="L1725" s="1" t="str">
        <f>HYPERLINK("https://files.afu.se/Downloads/Transcripts/0%20-%20Government/USA%20-%20NASA%20Kennedy/2009 09 24 - NASA's Kennedy Space Center - ARES I-X Time Lapse Lightning Mast Tower Construction_EwVxjqvHihM - transcript (automated).pdf","Transcript Link")</f>
        <v>Transcript Link</v>
      </c>
      <c r="M1725" s="2" t="str">
        <f>HYPERLINK("https://files.afu.se/Downloads/Transcripts/0%20-%20Government/USA%20-%20NASA%20Kennedy/2009 09 24 - NASA's Kennedy Space Center - ARES I-X Time Lapse Lightning Mast Tower Construction_EwVxjqvHihM - transcript (automated).pdf","Transcript Link")</f>
        <v>Transcript Link</v>
      </c>
    </row>
    <row r="1726" ht="225" spans="1:13">
      <c r="A1726" s="1" t="s">
        <v>7770</v>
      </c>
      <c r="B1726" s="1" t="s">
        <v>13</v>
      </c>
      <c r="C1726" s="4" t="s">
        <v>7771</v>
      </c>
      <c r="D1726" s="1" t="s">
        <v>7772</v>
      </c>
      <c r="E1726" s="1" t="s">
        <v>7773</v>
      </c>
      <c r="F1726" s="4" t="s">
        <v>17</v>
      </c>
      <c r="G1726" s="1" t="s">
        <v>18</v>
      </c>
      <c r="H1726" s="1" t="s">
        <v>19</v>
      </c>
      <c r="I1726" s="1" t="s">
        <v>20</v>
      </c>
      <c r="J1726" s="1" t="s">
        <v>7774</v>
      </c>
      <c r="K1726" s="1" t="s">
        <v>22</v>
      </c>
      <c r="L1726" s="1" t="str">
        <f>HYPERLINK("https://files.afu.se/Downloads/Transcripts/0%20-%20Government/USA%20-%20NASA%20Kennedy/2009 09 22 - NASA's Kennedy Space Center - Discovery Arrives Back in Florida_oDMBvXeDY6g - transcript (automated).pdf","Transcript Link")</f>
        <v>Transcript Link</v>
      </c>
      <c r="M1726" s="2" t="str">
        <f>HYPERLINK("https://files.afu.se/Downloads/Transcripts/0%20-%20Government/USA%20-%20NASA%20Kennedy/2009 09 22 - NASA's Kennedy Space Center - Discovery Arrives Back in Florida_oDMBvXeDY6g - transcript (automated).pdf","Transcript Link")</f>
        <v>Transcript Link</v>
      </c>
    </row>
    <row r="1727" ht="180" spans="1:13">
      <c r="A1727" s="1" t="s">
        <v>7775</v>
      </c>
      <c r="B1727" s="1" t="s">
        <v>13</v>
      </c>
      <c r="C1727" s="4" t="s">
        <v>7776</v>
      </c>
      <c r="D1727" s="1" t="s">
        <v>7777</v>
      </c>
      <c r="E1727" s="1" t="s">
        <v>7778</v>
      </c>
      <c r="F1727" s="4" t="s">
        <v>17</v>
      </c>
      <c r="G1727" s="1" t="s">
        <v>18</v>
      </c>
      <c r="H1727" s="1" t="s">
        <v>19</v>
      </c>
      <c r="I1727" s="1" t="s">
        <v>20</v>
      </c>
      <c r="J1727" s="1" t="s">
        <v>7779</v>
      </c>
      <c r="K1727" s="1" t="s">
        <v>22</v>
      </c>
      <c r="L1727" s="1" t="str">
        <f>HYPERLINK("https://files.afu.se/Downloads/Transcripts/0%20-%20Government/USA%20-%20NASA%20Kennedy/2009 09 21 - NASA's Kennedy Space Center - STS-128 Mission Overview_ckI2FyBTsZA - transcript (automated).pdf","Transcript Link")</f>
        <v>Transcript Link</v>
      </c>
      <c r="M1727" s="2" t="str">
        <f>HYPERLINK("https://files.afu.se/Downloads/Transcripts/0%20-%20Government/USA%20-%20NASA%20Kennedy/2009 09 21 - NASA's Kennedy Space Center - STS-128 Mission Overview_ckI2FyBTsZA - transcript (automated).pdf","Transcript Link")</f>
        <v>Transcript Link</v>
      </c>
    </row>
    <row r="1728" ht="180" spans="1:13">
      <c r="A1728" s="1" t="s">
        <v>7780</v>
      </c>
      <c r="B1728" s="1" t="s">
        <v>13</v>
      </c>
      <c r="C1728" s="4" t="s">
        <v>7781</v>
      </c>
      <c r="D1728" s="1" t="s">
        <v>7782</v>
      </c>
      <c r="E1728" s="1" t="s">
        <v>7783</v>
      </c>
      <c r="F1728" s="4" t="s">
        <v>17</v>
      </c>
      <c r="G1728" s="1" t="s">
        <v>18</v>
      </c>
      <c r="H1728" s="1" t="s">
        <v>19</v>
      </c>
      <c r="I1728" s="1" t="s">
        <v>20</v>
      </c>
      <c r="J1728" s="1" t="s">
        <v>7784</v>
      </c>
      <c r="K1728" s="1" t="s">
        <v>22</v>
      </c>
      <c r="L1728" s="1" t="str">
        <f>HYPERLINK("https://files.afu.se/Downloads/Transcripts/0%20-%20Government/USA%20-%20NASA%20Kennedy/2009 09 12 - NASA's Kennedy Space Center - STS-128 Crew Walkaround_9kfVxQTEbGk - transcript (automated).pdf","Transcript Link")</f>
        <v>Transcript Link</v>
      </c>
      <c r="M1728" s="2" t="str">
        <f>HYPERLINK("https://files.afu.se/Downloads/Transcripts/0%20-%20Government/USA%20-%20NASA%20Kennedy/2009 09 12 - NASA's Kennedy Space Center - STS-128 Crew Walkaround_9kfVxQTEbGk - transcript (automated).pdf","Transcript Link")</f>
        <v>Transcript Link</v>
      </c>
    </row>
    <row r="1729" ht="255" spans="1:13">
      <c r="A1729" s="1" t="s">
        <v>7780</v>
      </c>
      <c r="B1729" s="1" t="s">
        <v>13</v>
      </c>
      <c r="C1729" s="4" t="s">
        <v>7785</v>
      </c>
      <c r="D1729" s="1" t="s">
        <v>7786</v>
      </c>
      <c r="E1729" s="1" t="s">
        <v>7787</v>
      </c>
      <c r="F1729" s="4" t="s">
        <v>17</v>
      </c>
      <c r="G1729" s="1" t="s">
        <v>18</v>
      </c>
      <c r="H1729" s="1" t="s">
        <v>19</v>
      </c>
      <c r="I1729" s="1" t="s">
        <v>20</v>
      </c>
      <c r="J1729" s="1" t="s">
        <v>7788</v>
      </c>
      <c r="K1729" s="1" t="s">
        <v>22</v>
      </c>
      <c r="L1729" s="1" t="str">
        <f>HYPERLINK("https://files.afu.se/Downloads/Transcripts/0%20-%20Government/USA%20-%20NASA%20Kennedy/2009 09 12 - NASA's Kennedy Space Center - STS-128 Landing_3kBdNJVIuBA - transcript (automated).pdf","Transcript Link")</f>
        <v>Transcript Link</v>
      </c>
      <c r="M1729" s="2" t="str">
        <f>HYPERLINK("https://files.afu.se/Downloads/Transcripts/0%20-%20Government/USA%20-%20NASA%20Kennedy/2009 09 12 - NASA's Kennedy Space Center - STS-128 Landing_3kBdNJVIuBA - transcript (automated).pdf","Transcript Link")</f>
        <v>Transcript Link</v>
      </c>
    </row>
    <row r="1730" ht="180" spans="1:13">
      <c r="A1730" s="1" t="s">
        <v>7780</v>
      </c>
      <c r="B1730" s="1" t="s">
        <v>13</v>
      </c>
      <c r="C1730" s="4" t="s">
        <v>7789</v>
      </c>
      <c r="D1730" s="1" t="s">
        <v>7790</v>
      </c>
      <c r="E1730" s="1" t="s">
        <v>7791</v>
      </c>
      <c r="F1730" s="4" t="s">
        <v>17</v>
      </c>
      <c r="G1730" s="1" t="s">
        <v>18</v>
      </c>
      <c r="H1730" s="1" t="s">
        <v>19</v>
      </c>
      <c r="I1730" s="1" t="s">
        <v>20</v>
      </c>
      <c r="J1730" s="1" t="s">
        <v>7792</v>
      </c>
      <c r="K1730" s="1" t="s">
        <v>22</v>
      </c>
      <c r="L1730" s="1" t="str">
        <f>HYPERLINK("https://files.afu.se/Downloads/Transcripts/0%20-%20Government/USA%20-%20NASA%20Kennedy/2009 09 12 - NASA's Kennedy Space Center - STS-128 Go for Deorbit Burn_EczIjsMawQw - transcript (automated).pdf","Transcript Link")</f>
        <v>Transcript Link</v>
      </c>
      <c r="M1730" s="2" t="str">
        <f>HYPERLINK("https://files.afu.se/Downloads/Transcripts/0%20-%20Government/USA%20-%20NASA%20Kennedy/2009 09 12 - NASA's Kennedy Space Center - STS-128 Go for Deorbit Burn_EczIjsMawQw - transcript (automated).pdf","Transcript Link")</f>
        <v>Transcript Link</v>
      </c>
    </row>
    <row r="1731" ht="240" spans="1:13">
      <c r="A1731" s="1" t="s">
        <v>7793</v>
      </c>
      <c r="B1731" s="1" t="s">
        <v>13</v>
      </c>
      <c r="C1731" s="4" t="s">
        <v>7794</v>
      </c>
      <c r="D1731" s="1" t="s">
        <v>7795</v>
      </c>
      <c r="E1731" s="1" t="s">
        <v>7796</v>
      </c>
      <c r="F1731" s="4" t="s">
        <v>17</v>
      </c>
      <c r="G1731" s="1" t="s">
        <v>18</v>
      </c>
      <c r="H1731" s="1" t="s">
        <v>19</v>
      </c>
      <c r="I1731" s="1" t="s">
        <v>20</v>
      </c>
      <c r="J1731" s="1" t="s">
        <v>7797</v>
      </c>
      <c r="K1731" s="1" t="s">
        <v>22</v>
      </c>
      <c r="L1731" s="1" t="str">
        <f>HYPERLINK("https://files.afu.se/Downloads/Transcripts/0%20-%20Government/USA%20-%20NASA%20Kennedy/2009 09 11 - NASA's Kennedy Space Center - STS-128 No Go for KSC Landing Today_tefLGpfFaAs - transcript (automated).pdf","Transcript Link")</f>
        <v>Transcript Link</v>
      </c>
      <c r="M1731" s="2" t="str">
        <f>HYPERLINK("https://files.afu.se/Downloads/Transcripts/0%20-%20Government/USA%20-%20NASA%20Kennedy/2009 09 11 - NASA's Kennedy Space Center - STS-128 No Go for KSC Landing Today_tefLGpfFaAs - transcript (automated).pdf","Transcript Link")</f>
        <v>Transcript Link</v>
      </c>
    </row>
    <row r="1732" ht="180" spans="1:13">
      <c r="A1732" s="1" t="s">
        <v>7798</v>
      </c>
      <c r="B1732" s="1" t="s">
        <v>13</v>
      </c>
      <c r="C1732" s="4" t="s">
        <v>7799</v>
      </c>
      <c r="D1732" s="1" t="s">
        <v>7800</v>
      </c>
      <c r="E1732" s="1" t="s">
        <v>7801</v>
      </c>
      <c r="F1732" s="4" t="s">
        <v>17</v>
      </c>
      <c r="G1732" s="1" t="s">
        <v>18</v>
      </c>
      <c r="H1732" s="1" t="s">
        <v>19</v>
      </c>
      <c r="I1732" s="1" t="s">
        <v>20</v>
      </c>
      <c r="J1732" s="1" t="s">
        <v>7802</v>
      </c>
      <c r="K1732" s="1" t="s">
        <v>22</v>
      </c>
      <c r="L1732" s="1" t="str">
        <f>HYPERLINK("https://files.afu.se/Downloads/Transcripts/0%20-%20Government/USA%20-%20NASA%20Kennedy/2009 08 29 - NASA's Kennedy Space Center - STS-128 Space Shuttle Launch_ijvC8AzCF1M - transcript (automated).pdf","Transcript Link")</f>
        <v>Transcript Link</v>
      </c>
      <c r="M1732" s="2" t="str">
        <f>HYPERLINK("https://files.afu.se/Downloads/Transcripts/0%20-%20Government/USA%20-%20NASA%20Kennedy/2009 08 29 - NASA's Kennedy Space Center - STS-128 Space Shuttle Launch_ijvC8AzCF1M - transcript (automated).pdf","Transcript Link")</f>
        <v>Transcript Link</v>
      </c>
    </row>
    <row r="1733" ht="180" spans="1:13">
      <c r="A1733" s="1" t="s">
        <v>7798</v>
      </c>
      <c r="B1733" s="1" t="s">
        <v>13</v>
      </c>
      <c r="C1733" s="4" t="s">
        <v>7803</v>
      </c>
      <c r="D1733" s="1" t="s">
        <v>7804</v>
      </c>
      <c r="E1733" s="1" t="s">
        <v>7805</v>
      </c>
      <c r="F1733" s="4" t="s">
        <v>17</v>
      </c>
      <c r="G1733" s="1" t="s">
        <v>18</v>
      </c>
      <c r="H1733" s="1" t="s">
        <v>19</v>
      </c>
      <c r="I1733" s="1" t="s">
        <v>20</v>
      </c>
      <c r="J1733" s="1" t="s">
        <v>7806</v>
      </c>
      <c r="K1733" s="1" t="s">
        <v>22</v>
      </c>
      <c r="L1733" s="1" t="str">
        <f>HYPERLINK("https://files.afu.se/Downloads/Transcripts/0%20-%20Government/USA%20-%20NASA%20Kennedy/2009 08 29 - NASA's Kennedy Space Center - STS-128 External Tank Jettison_2cPWLrviMgY - transcript (automated).pdf","Transcript Link")</f>
        <v>Transcript Link</v>
      </c>
      <c r="M1733" s="2" t="str">
        <f>HYPERLINK("https://files.afu.se/Downloads/Transcripts/0%20-%20Government/USA%20-%20NASA%20Kennedy/2009 08 29 - NASA's Kennedy Space Center - STS-128 External Tank Jettison_2cPWLrviMgY - transcript (automated).pdf","Transcript Link")</f>
        <v>Transcript Link</v>
      </c>
    </row>
    <row r="1734" ht="180" spans="1:13">
      <c r="A1734" s="1" t="s">
        <v>7798</v>
      </c>
      <c r="B1734" s="1" t="s">
        <v>13</v>
      </c>
      <c r="C1734" s="4" t="s">
        <v>7807</v>
      </c>
      <c r="D1734" s="1" t="s">
        <v>7808</v>
      </c>
      <c r="E1734" s="1" t="s">
        <v>7809</v>
      </c>
      <c r="F1734" s="4" t="s">
        <v>17</v>
      </c>
      <c r="G1734" s="1" t="s">
        <v>18</v>
      </c>
      <c r="H1734" s="1" t="s">
        <v>19</v>
      </c>
      <c r="I1734" s="1" t="s">
        <v>20</v>
      </c>
      <c r="J1734" s="1" t="s">
        <v>7810</v>
      </c>
      <c r="K1734" s="1" t="s">
        <v>22</v>
      </c>
      <c r="L1734" s="1" t="str">
        <f>HYPERLINK("https://files.afu.se/Downloads/Transcripts/0%20-%20Government/USA%20-%20NASA%20Kennedy/2009 08 29 - NASA's Kennedy Space Center - STS-128 Farewell from Launch Director_CUSbQfDMyio - transcript (automated).pdf","Transcript Link")</f>
        <v>Transcript Link</v>
      </c>
      <c r="M1734" s="2" t="str">
        <f>HYPERLINK("https://files.afu.se/Downloads/Transcripts/0%20-%20Government/USA%20-%20NASA%20Kennedy/2009 08 29 - NASA's Kennedy Space Center - STS-128 Farewell from Launch Director_CUSbQfDMyio - transcript (automated).pdf","Transcript Link")</f>
        <v>Transcript Link</v>
      </c>
    </row>
    <row r="1735" ht="180" spans="1:13">
      <c r="A1735" s="1" t="s">
        <v>7798</v>
      </c>
      <c r="B1735" s="1" t="s">
        <v>13</v>
      </c>
      <c r="C1735" s="4" t="s">
        <v>7811</v>
      </c>
      <c r="D1735" s="1" t="s">
        <v>7812</v>
      </c>
      <c r="E1735" s="1" t="s">
        <v>7813</v>
      </c>
      <c r="F1735" s="4" t="s">
        <v>17</v>
      </c>
      <c r="G1735" s="1" t="s">
        <v>18</v>
      </c>
      <c r="H1735" s="1" t="s">
        <v>19</v>
      </c>
      <c r="I1735" s="1" t="s">
        <v>20</v>
      </c>
      <c r="J1735" s="1" t="s">
        <v>7814</v>
      </c>
      <c r="K1735" s="1" t="s">
        <v>22</v>
      </c>
      <c r="L1735" s="1" t="str">
        <f>HYPERLINK("https://files.afu.se/Downloads/Transcripts/0%20-%20Government/USA%20-%20NASA%20Kennedy/2009 08 29 - NASA's Kennedy Space Center - STS-128 Ingress_gdlzKTeb9Dk - transcript (automated).pdf","Transcript Link")</f>
        <v>Transcript Link</v>
      </c>
      <c r="M1735" s="2" t="str">
        <f>HYPERLINK("https://files.afu.se/Downloads/Transcripts/0%20-%20Government/USA%20-%20NASA%20Kennedy/2009 08 29 - NASA's Kennedy Space Center - STS-128 Ingress_gdlzKTeb9Dk - transcript (automated).pdf","Transcript Link")</f>
        <v>Transcript Link</v>
      </c>
    </row>
    <row r="1736" ht="180" spans="1:13">
      <c r="A1736" s="1" t="s">
        <v>7798</v>
      </c>
      <c r="B1736" s="1" t="s">
        <v>13</v>
      </c>
      <c r="C1736" s="4" t="s">
        <v>7815</v>
      </c>
      <c r="D1736" s="1" t="s">
        <v>7816</v>
      </c>
      <c r="E1736" s="1" t="s">
        <v>7817</v>
      </c>
      <c r="F1736" s="4" t="s">
        <v>17</v>
      </c>
      <c r="G1736" s="1" t="s">
        <v>18</v>
      </c>
      <c r="H1736" s="1" t="s">
        <v>19</v>
      </c>
      <c r="I1736" s="1" t="s">
        <v>20</v>
      </c>
      <c r="J1736" s="1" t="s">
        <v>7818</v>
      </c>
      <c r="K1736" s="1" t="s">
        <v>22</v>
      </c>
      <c r="L1736" s="1" t="str">
        <f>HYPERLINK("https://files.afu.se/Downloads/Transcripts/0%20-%20Government/USA%20-%20NASA%20Kennedy/2009 08 29 - NASA's Kennedy Space Center - STS-128 Suitup and Walkout_4pJj152X3BE - transcript (automated).pdf","Transcript Link")</f>
        <v>Transcript Link</v>
      </c>
      <c r="M1736" s="2" t="str">
        <f>HYPERLINK("https://files.afu.se/Downloads/Transcripts/0%20-%20Government/USA%20-%20NASA%20Kennedy/2009 08 29 - NASA's Kennedy Space Center - STS-128 Suitup and Walkout_4pJj152X3BE - transcript (automated).pdf","Transcript Link")</f>
        <v>Transcript Link</v>
      </c>
    </row>
    <row r="1737" ht="180" spans="1:13">
      <c r="A1737" s="1" t="s">
        <v>7798</v>
      </c>
      <c r="B1737" s="1" t="s">
        <v>13</v>
      </c>
      <c r="C1737" s="4" t="s">
        <v>7819</v>
      </c>
      <c r="D1737" s="1" t="s">
        <v>7820</v>
      </c>
      <c r="E1737" s="1" t="s">
        <v>7821</v>
      </c>
      <c r="F1737" s="4" t="s">
        <v>17</v>
      </c>
      <c r="G1737" s="1" t="s">
        <v>18</v>
      </c>
      <c r="H1737" s="1" t="s">
        <v>19</v>
      </c>
      <c r="I1737" s="1" t="s">
        <v>20</v>
      </c>
      <c r="J1737" s="1" t="s">
        <v>7822</v>
      </c>
      <c r="K1737" s="1" t="s">
        <v>22</v>
      </c>
      <c r="L1737" s="1" t="str">
        <f>HYPERLINK("https://files.afu.se/Downloads/Transcripts/0%20-%20Government/USA%20-%20NASA%20Kennedy/2009 08 29 - NASA's Kennedy Space Center - STS-128 Live Coverage Open_SPP9OyLaDBE - transcript (automated).pdf","Transcript Link")</f>
        <v>Transcript Link</v>
      </c>
      <c r="M1737" s="2" t="str">
        <f>HYPERLINK("https://files.afu.se/Downloads/Transcripts/0%20-%20Government/USA%20-%20NASA%20Kennedy/2009 08 29 - NASA's Kennedy Space Center - STS-128 Live Coverage Open_SPP9OyLaDBE - transcript (automated).pdf","Transcript Link")</f>
        <v>Transcript Link</v>
      </c>
    </row>
    <row r="1738" ht="210" spans="1:13">
      <c r="A1738" s="1" t="s">
        <v>7823</v>
      </c>
      <c r="B1738" s="1" t="s">
        <v>13</v>
      </c>
      <c r="C1738" s="4" t="s">
        <v>7824</v>
      </c>
      <c r="D1738" s="1" t="s">
        <v>7825</v>
      </c>
      <c r="E1738" s="1" t="s">
        <v>7826</v>
      </c>
      <c r="F1738" s="4" t="s">
        <v>17</v>
      </c>
      <c r="G1738" s="1" t="s">
        <v>18</v>
      </c>
      <c r="H1738" s="1" t="s">
        <v>19</v>
      </c>
      <c r="I1738" s="1" t="s">
        <v>20</v>
      </c>
      <c r="J1738" s="1" t="s">
        <v>7827</v>
      </c>
      <c r="K1738" s="1" t="s">
        <v>22</v>
      </c>
      <c r="L1738" s="1" t="str">
        <f>HYPERLINK("https://files.afu.se/Downloads/Transcripts/0%20-%20Government/USA%20-%20NASA%20Kennedy/2009 08 25 - NASA's Kennedy Space Center - STS-128 Scrubbed Due to Weather_Fz13jfoJui0 - transcript (automated).pdf","Transcript Link")</f>
        <v>Transcript Link</v>
      </c>
      <c r="M1738" s="2" t="str">
        <f>HYPERLINK("https://files.afu.se/Downloads/Transcripts/0%20-%20Government/USA%20-%20NASA%20Kennedy/2009 08 25 - NASA's Kennedy Space Center - STS-128 Scrubbed Due to Weather_Fz13jfoJui0 - transcript (automated).pdf","Transcript Link")</f>
        <v>Transcript Link</v>
      </c>
    </row>
    <row r="1739" ht="195" spans="1:13">
      <c r="A1739" s="1" t="s">
        <v>7823</v>
      </c>
      <c r="B1739" s="1" t="s">
        <v>13</v>
      </c>
      <c r="C1739" s="4" t="s">
        <v>7828</v>
      </c>
      <c r="D1739" s="1" t="s">
        <v>7829</v>
      </c>
      <c r="E1739" s="1" t="s">
        <v>7830</v>
      </c>
      <c r="F1739" s="4" t="s">
        <v>17</v>
      </c>
      <c r="G1739" s="1" t="s">
        <v>18</v>
      </c>
      <c r="H1739" s="1" t="s">
        <v>19</v>
      </c>
      <c r="I1739" s="1" t="s">
        <v>20</v>
      </c>
      <c r="J1739" s="1" t="s">
        <v>7831</v>
      </c>
      <c r="K1739" s="1" t="s">
        <v>22</v>
      </c>
      <c r="L1739" s="1" t="str">
        <f>HYPERLINK("https://files.afu.se/Downloads/Transcripts/0%20-%20Government/USA%20-%20NASA%20Kennedy/2009 08 25 - NASA's Kennedy Space Center - Colbert Ready for C.O.L.B.E.R.T. to Fly_Js-JK8gCkYk - transcript (automated).pdf","Transcript Link")</f>
        <v>Transcript Link</v>
      </c>
      <c r="M1739" s="2" t="str">
        <f>HYPERLINK("https://files.afu.se/Downloads/Transcripts/0%20-%20Government/USA%20-%20NASA%20Kennedy/2009 08 25 - NASA's Kennedy Space Center - Colbert Ready for C.O.L.B.E.R.T. to Fly_Js-JK8gCkYk - transcript (automated).pdf","Transcript Link")</f>
        <v>Transcript Link</v>
      </c>
    </row>
    <row r="1740" ht="195" spans="1:13">
      <c r="A1740" s="1" t="s">
        <v>7832</v>
      </c>
      <c r="B1740" s="1" t="s">
        <v>13</v>
      </c>
      <c r="C1740" s="4" t="s">
        <v>7833</v>
      </c>
      <c r="D1740" s="1" t="s">
        <v>7834</v>
      </c>
      <c r="E1740" s="1" t="s">
        <v>7835</v>
      </c>
      <c r="F1740" s="4" t="s">
        <v>17</v>
      </c>
      <c r="G1740" s="1" t="s">
        <v>18</v>
      </c>
      <c r="H1740" s="1" t="s">
        <v>19</v>
      </c>
      <c r="I1740" s="1" t="s">
        <v>20</v>
      </c>
      <c r="J1740" s="1" t="s">
        <v>7836</v>
      </c>
      <c r="K1740" s="1" t="s">
        <v>22</v>
      </c>
      <c r="L1740" s="1" t="str">
        <f>HYPERLINK("https://files.afu.se/Downloads/Transcripts/0%20-%20Government/USA%20-%20NASA%20Kennedy/2009 08 13 - NASA's Kennedy Space Center - STS-128 TCDT_ULgNlkRE-3g - transcript (automated).pdf","Transcript Link")</f>
        <v>Transcript Link</v>
      </c>
      <c r="M1740" s="2" t="str">
        <f>HYPERLINK("https://files.afu.se/Downloads/Transcripts/0%20-%20Government/USA%20-%20NASA%20Kennedy/2009 08 13 - NASA's Kennedy Space Center - STS-128 TCDT_ULgNlkRE-3g - transcript (automated).pdf","Transcript Link")</f>
        <v>Transcript Link</v>
      </c>
    </row>
    <row r="1741" ht="195" spans="1:13">
      <c r="A1741" s="1" t="s">
        <v>7832</v>
      </c>
      <c r="B1741" s="1" t="s">
        <v>13</v>
      </c>
      <c r="C1741" s="4" t="s">
        <v>7837</v>
      </c>
      <c r="D1741" s="1" t="s">
        <v>7838</v>
      </c>
      <c r="E1741" s="1" t="s">
        <v>7839</v>
      </c>
      <c r="F1741" s="4" t="s">
        <v>17</v>
      </c>
      <c r="G1741" s="1" t="s">
        <v>18</v>
      </c>
      <c r="H1741" s="1" t="s">
        <v>19</v>
      </c>
      <c r="I1741" s="1" t="s">
        <v>20</v>
      </c>
      <c r="J1741" s="1" t="s">
        <v>7840</v>
      </c>
      <c r="K1741" s="1" t="s">
        <v>22</v>
      </c>
      <c r="L1741" s="1" t="str">
        <f>HYPERLINK("https://files.afu.se/Downloads/Transcripts/0%20-%20Government/USA%20-%20NASA%20Kennedy/2009 08 13 - NASA's Kennedy Space Center - Discovery rolls to Launch Pad_E0YR9gT8Mis - transcript (automated).pdf","Transcript Link")</f>
        <v>Transcript Link</v>
      </c>
      <c r="M1741" s="2" t="str">
        <f>HYPERLINK("https://files.afu.se/Downloads/Transcripts/0%20-%20Government/USA%20-%20NASA%20Kennedy/2009 08 13 - NASA's Kennedy Space Center - Discovery rolls to Launch Pad_E0YR9gT8Mis - transcript (automated).pdf","Transcript Link")</f>
        <v>Transcript Link</v>
      </c>
    </row>
    <row r="1742" ht="195" spans="1:13">
      <c r="A1742" s="1" t="s">
        <v>7841</v>
      </c>
      <c r="B1742" s="1" t="s">
        <v>13</v>
      </c>
      <c r="C1742" s="4" t="s">
        <v>7842</v>
      </c>
      <c r="D1742" s="1" t="s">
        <v>7843</v>
      </c>
      <c r="E1742" s="1" t="s">
        <v>7844</v>
      </c>
      <c r="F1742" s="4" t="s">
        <v>17</v>
      </c>
      <c r="G1742" s="1" t="s">
        <v>18</v>
      </c>
      <c r="H1742" s="1" t="s">
        <v>19</v>
      </c>
      <c r="I1742" s="1" t="s">
        <v>20</v>
      </c>
      <c r="J1742" s="1" t="s">
        <v>7845</v>
      </c>
      <c r="K1742" s="1" t="s">
        <v>22</v>
      </c>
      <c r="L1742" s="1" t="str">
        <f>HYPERLINK("https://files.afu.se/Downloads/Transcripts/0%20-%20Government/USA%20-%20NASA%20Kennedy/2009 07 31 - NASA's Kennedy Space Center - STS-127 Space Shuttle Landing_P2itpixEZ6o - transcript (automated).pdf","Transcript Link")</f>
        <v>Transcript Link</v>
      </c>
      <c r="M1742" s="2" t="str">
        <f>HYPERLINK("https://files.afu.se/Downloads/Transcripts/0%20-%20Government/USA%20-%20NASA%20Kennedy/2009 07 31 - NASA's Kennedy Space Center - STS-127 Space Shuttle Landing_P2itpixEZ6o - transcript (automated).pdf","Transcript Link")</f>
        <v>Transcript Link</v>
      </c>
    </row>
    <row r="1743" ht="210" spans="1:13">
      <c r="A1743" s="1" t="s">
        <v>7846</v>
      </c>
      <c r="B1743" s="1" t="s">
        <v>13</v>
      </c>
      <c r="C1743" s="4" t="s">
        <v>7847</v>
      </c>
      <c r="D1743" s="1" t="s">
        <v>7848</v>
      </c>
      <c r="E1743" s="1" t="s">
        <v>7849</v>
      </c>
      <c r="F1743" s="4" t="s">
        <v>17</v>
      </c>
      <c r="G1743" s="1" t="s">
        <v>18</v>
      </c>
      <c r="H1743" s="1" t="s">
        <v>19</v>
      </c>
      <c r="I1743" s="1" t="s">
        <v>20</v>
      </c>
      <c r="J1743" s="1" t="s">
        <v>7850</v>
      </c>
      <c r="K1743" s="1" t="s">
        <v>22</v>
      </c>
      <c r="L1743" s="1" t="str">
        <f>HYPERLINK("https://files.afu.se/Downloads/Transcripts/0%20-%20Government/USA%20-%20NASA%20Kennedy/2009 07 15 - NASA's Kennedy Space Center - STS-127 Space Shuttle Launch_Gnch_x1G22w - transcript (automated).pdf","Transcript Link")</f>
        <v>Transcript Link</v>
      </c>
      <c r="M1743" s="2" t="str">
        <f>HYPERLINK("https://files.afu.se/Downloads/Transcripts/0%20-%20Government/USA%20-%20NASA%20Kennedy/2009 07 15 - NASA's Kennedy Space Center - STS-127 Space Shuttle Launch_Gnch_x1G22w - transcript (automated).pdf","Transcript Link")</f>
        <v>Transcript Link</v>
      </c>
    </row>
    <row r="1744" ht="180" spans="1:13">
      <c r="A1744" s="1" t="s">
        <v>7851</v>
      </c>
      <c r="B1744" s="1" t="s">
        <v>13</v>
      </c>
      <c r="C1744" s="4" t="s">
        <v>7852</v>
      </c>
      <c r="D1744" s="1" t="s">
        <v>7853</v>
      </c>
      <c r="E1744" s="1" t="s">
        <v>7854</v>
      </c>
      <c r="F1744" s="4" t="s">
        <v>17</v>
      </c>
      <c r="G1744" s="1" t="s">
        <v>18</v>
      </c>
      <c r="H1744" s="1" t="s">
        <v>19</v>
      </c>
      <c r="I1744" s="1" t="s">
        <v>20</v>
      </c>
      <c r="J1744" s="1" t="s">
        <v>7855</v>
      </c>
      <c r="K1744" s="1" t="s">
        <v>22</v>
      </c>
      <c r="L1744" s="1" t="str">
        <f>HYPERLINK("https://files.afu.se/Downloads/Transcripts/0%20-%20Government/USA%20-%20NASA%20Kennedy/2009 07 07 - NASA's Kennedy Space Center - Lightning Towers Rise at LC-39B_nDCGJb1TaoQ - transcript (automated).pdf","Transcript Link")</f>
        <v>Transcript Link</v>
      </c>
      <c r="M1744" s="2" t="str">
        <f>HYPERLINK("https://files.afu.se/Downloads/Transcripts/0%20-%20Government/USA%20-%20NASA%20Kennedy/2009 07 07 - NASA's Kennedy Space Center - Lightning Towers Rise at LC-39B_nDCGJb1TaoQ - transcript (automated).pdf","Transcript Link")</f>
        <v>Transcript Link</v>
      </c>
    </row>
    <row r="1745" ht="195" spans="1:13">
      <c r="A1745" s="1" t="s">
        <v>7851</v>
      </c>
      <c r="B1745" s="1" t="s">
        <v>13</v>
      </c>
      <c r="C1745" s="4" t="s">
        <v>7856</v>
      </c>
      <c r="D1745" s="1" t="s">
        <v>7857</v>
      </c>
      <c r="E1745" s="1" t="s">
        <v>7858</v>
      </c>
      <c r="F1745" s="4" t="s">
        <v>17</v>
      </c>
      <c r="G1745" s="1" t="s">
        <v>18</v>
      </c>
      <c r="H1745" s="1" t="s">
        <v>19</v>
      </c>
      <c r="I1745" s="1" t="s">
        <v>20</v>
      </c>
      <c r="J1745" s="1" t="s">
        <v>7859</v>
      </c>
      <c r="K1745" s="1" t="s">
        <v>22</v>
      </c>
      <c r="L1745" s="1" t="str">
        <f>HYPERLINK("https://files.afu.se/Downloads/Transcripts/0%20-%20Government/USA%20-%20NASA%20Kennedy/2009 07 07 - NASA's Kennedy Space Center - Ares I-X Hardware Arrives_rymMpXl6FYA - transcript (automated).pdf","Transcript Link")</f>
        <v>Transcript Link</v>
      </c>
      <c r="M1745" s="2" t="str">
        <f>HYPERLINK("https://files.afu.se/Downloads/Transcripts/0%20-%20Government/USA%20-%20NASA%20Kennedy/2009 07 07 - NASA's Kennedy Space Center - Ares I-X Hardware Arrives_rymMpXl6FYA - transcript (automated).pdf","Transcript Link")</f>
        <v>Transcript Link</v>
      </c>
    </row>
    <row r="1746" ht="180" spans="1:13">
      <c r="A1746" s="1" t="s">
        <v>7851</v>
      </c>
      <c r="B1746" s="1" t="s">
        <v>13</v>
      </c>
      <c r="C1746" s="4" t="s">
        <v>7860</v>
      </c>
      <c r="D1746" s="1" t="s">
        <v>7861</v>
      </c>
      <c r="E1746" s="1" t="s">
        <v>7862</v>
      </c>
      <c r="F1746" s="4" t="s">
        <v>17</v>
      </c>
      <c r="G1746" s="1" t="s">
        <v>18</v>
      </c>
      <c r="H1746" s="1" t="s">
        <v>19</v>
      </c>
      <c r="I1746" s="1" t="s">
        <v>20</v>
      </c>
      <c r="J1746" s="1" t="s">
        <v>7863</v>
      </c>
      <c r="K1746" s="1" t="s">
        <v>22</v>
      </c>
      <c r="L1746" s="1" t="str">
        <f>HYPERLINK("https://files.afu.se/Downloads/Transcripts/0%20-%20Government/USA%20-%20NASA%20Kennedy/2009 07 07 - NASA's Kennedy Space Center - Time-lapse  Atlantis Readies to Fly Cross Country_z-s9pQXzxCE - transcript (automated).pdf","Transcript Link")</f>
        <v>Transcript Link</v>
      </c>
      <c r="M1746" s="2" t="str">
        <f>HYPERLINK("https://files.afu.se/Downloads/Transcripts/0%20-%20Government/USA%20-%20NASA%20Kennedy/2009 07 07 - NASA's Kennedy Space Center - Time-lapse  Atlantis Readies to Fly Cross Country_z-s9pQXzxCE - transcript (automated).pdf","Transcript Link")</f>
        <v>Transcript Link</v>
      </c>
    </row>
    <row r="1747" ht="180" spans="1:13">
      <c r="A1747" s="1" t="s">
        <v>7851</v>
      </c>
      <c r="B1747" s="1" t="s">
        <v>13</v>
      </c>
      <c r="C1747" s="4" t="s">
        <v>7864</v>
      </c>
      <c r="D1747" s="1" t="s">
        <v>7865</v>
      </c>
      <c r="E1747" s="1" t="s">
        <v>7866</v>
      </c>
      <c r="F1747" s="4" t="s">
        <v>17</v>
      </c>
      <c r="G1747" s="1" t="s">
        <v>18</v>
      </c>
      <c r="H1747" s="1" t="s">
        <v>19</v>
      </c>
      <c r="I1747" s="1" t="s">
        <v>20</v>
      </c>
      <c r="J1747" s="1" t="s">
        <v>7867</v>
      </c>
      <c r="K1747" s="1" t="s">
        <v>22</v>
      </c>
      <c r="L1747" s="1" t="str">
        <f>HYPERLINK("https://files.afu.se/Downloads/Transcripts/0%20-%20Government/USA%20-%20NASA%20Kennedy/2009 07 07 - NASA's Kennedy Space Center - STS-125 Mission Overview_mDxxuMwAEd4 - transcript (automated).pdf","Transcript Link")</f>
        <v>Transcript Link</v>
      </c>
      <c r="M1747" s="2" t="str">
        <f>HYPERLINK("https://files.afu.se/Downloads/Transcripts/0%20-%20Government/USA%20-%20NASA%20Kennedy/2009 07 07 - NASA's Kennedy Space Center - STS-125 Mission Overview_mDxxuMwAEd4 - transcript (automated).pdf","Transcript Link")</f>
        <v>Transcript Link</v>
      </c>
    </row>
    <row r="1748" ht="240" spans="1:13">
      <c r="A1748" s="1" t="s">
        <v>7868</v>
      </c>
      <c r="B1748" s="1" t="s">
        <v>13</v>
      </c>
      <c r="C1748" s="4" t="s">
        <v>7869</v>
      </c>
      <c r="D1748" s="1" t="s">
        <v>7870</v>
      </c>
      <c r="E1748" s="1" t="s">
        <v>7871</v>
      </c>
      <c r="F1748" s="4" t="s">
        <v>17</v>
      </c>
      <c r="G1748" s="1" t="s">
        <v>18</v>
      </c>
      <c r="H1748" s="1" t="s">
        <v>19</v>
      </c>
      <c r="I1748" s="1" t="s">
        <v>20</v>
      </c>
      <c r="J1748" s="1" t="s">
        <v>7872</v>
      </c>
      <c r="K1748" s="1" t="s">
        <v>22</v>
      </c>
      <c r="L1748" s="1" t="str">
        <f>HYPERLINK("https://files.afu.se/Downloads/Transcripts/0%20-%20Government/USA%20-%20NASA%20Kennedy/2009 07 06 - NASA's Kennedy Space Center - NASA's Orbiting Carbon Observatory Launch_be5ukUtu8mg - transcript (automated).pdf","Transcript Link")</f>
        <v>Transcript Link</v>
      </c>
      <c r="M1748" s="2" t="str">
        <f>HYPERLINK("https://files.afu.se/Downloads/Transcripts/0%20-%20Government/USA%20-%20NASA%20Kennedy/2009 07 06 - NASA's Kennedy Space Center - NASA's Orbiting Carbon Observatory Launch_be5ukUtu8mg - transcript (automated).pdf","Transcript Link")</f>
        <v>Transcript Link</v>
      </c>
    </row>
    <row r="1749" ht="255" spans="1:13">
      <c r="A1749" s="1" t="s">
        <v>7868</v>
      </c>
      <c r="B1749" s="1" t="s">
        <v>13</v>
      </c>
      <c r="C1749" s="4" t="s">
        <v>7873</v>
      </c>
      <c r="D1749" s="1" t="s">
        <v>7874</v>
      </c>
      <c r="E1749" s="1" t="s">
        <v>7875</v>
      </c>
      <c r="F1749" s="4" t="s">
        <v>17</v>
      </c>
      <c r="G1749" s="1" t="s">
        <v>18</v>
      </c>
      <c r="H1749" s="1" t="s">
        <v>19</v>
      </c>
      <c r="I1749" s="1" t="s">
        <v>20</v>
      </c>
      <c r="J1749" s="1" t="s">
        <v>7876</v>
      </c>
      <c r="K1749" s="1" t="s">
        <v>22</v>
      </c>
      <c r="L1749" s="1" t="str">
        <f>HYPERLINK("https://files.afu.se/Downloads/Transcripts/0%20-%20Government/USA%20-%20NASA%20Kennedy/2009 07 06 - NASA's Kennedy Space Center - NASA's NOAA-N Prime Satellite Launch_hVqnOvC-ksU - transcript (automated).pdf","Transcript Link")</f>
        <v>Transcript Link</v>
      </c>
      <c r="M1749" s="2" t="str">
        <f>HYPERLINK("https://files.afu.se/Downloads/Transcripts/0%20-%20Government/USA%20-%20NASA%20Kennedy/2009 07 06 - NASA's Kennedy Space Center - NASA's NOAA-N Prime Satellite Launch_hVqnOvC-ksU - transcript (automated).pdf","Transcript Link")</f>
        <v>Transcript Link</v>
      </c>
    </row>
    <row r="1750" ht="180" spans="1:13">
      <c r="A1750" s="1" t="s">
        <v>7868</v>
      </c>
      <c r="B1750" s="1" t="s">
        <v>13</v>
      </c>
      <c r="C1750" s="4" t="s">
        <v>7877</v>
      </c>
      <c r="D1750" s="1" t="s">
        <v>7878</v>
      </c>
      <c r="E1750" s="1" t="s">
        <v>7879</v>
      </c>
      <c r="F1750" s="4" t="s">
        <v>17</v>
      </c>
      <c r="G1750" s="1" t="s">
        <v>18</v>
      </c>
      <c r="H1750" s="1" t="s">
        <v>19</v>
      </c>
      <c r="I1750" s="1" t="s">
        <v>20</v>
      </c>
      <c r="J1750" s="1" t="s">
        <v>7880</v>
      </c>
      <c r="K1750" s="1" t="s">
        <v>22</v>
      </c>
      <c r="L1750" s="1" t="str">
        <f>HYPERLINK("https://files.afu.se/Downloads/Transcripts/0%20-%20Government/USA%20-%20NASA%20Kennedy/2009 07 06 - NASA's Kennedy Space Center - STS-119 Space Shuttle Landing_j2z559S1MKA - transcript (automated).pdf","Transcript Link")</f>
        <v>Transcript Link</v>
      </c>
      <c r="M1750" s="2" t="str">
        <f>HYPERLINK("https://files.afu.se/Downloads/Transcripts/0%20-%20Government/USA%20-%20NASA%20Kennedy/2009 07 06 - NASA's Kennedy Space Center - STS-119 Space Shuttle Landing_j2z559S1MKA - transcript (automated).pdf","Transcript Link")</f>
        <v>Transcript Link</v>
      </c>
    </row>
    <row r="1751" ht="180" spans="1:13">
      <c r="A1751" s="1" t="s">
        <v>7868</v>
      </c>
      <c r="B1751" s="1" t="s">
        <v>13</v>
      </c>
      <c r="C1751" s="4" t="s">
        <v>7881</v>
      </c>
      <c r="D1751" s="1" t="s">
        <v>7882</v>
      </c>
      <c r="E1751" s="1" t="s">
        <v>7883</v>
      </c>
      <c r="F1751" s="4" t="s">
        <v>17</v>
      </c>
      <c r="G1751" s="1" t="s">
        <v>18</v>
      </c>
      <c r="H1751" s="1" t="s">
        <v>19</v>
      </c>
      <c r="I1751" s="1" t="s">
        <v>20</v>
      </c>
      <c r="J1751" s="1" t="s">
        <v>7884</v>
      </c>
      <c r="K1751" s="1" t="s">
        <v>22</v>
      </c>
      <c r="L1751" s="1" t="str">
        <f>HYPERLINK("https://files.afu.se/Downloads/Transcripts/0%20-%20Government/USA%20-%20NASA%20Kennedy/2009 07 06 - NASA's Kennedy Space Center - STS-119 Space Shuttle Launch_lQSpFfvtQQk - transcript (automated).pdf","Transcript Link")</f>
        <v>Transcript Link</v>
      </c>
      <c r="M1751" s="2" t="str">
        <f>HYPERLINK("https://files.afu.se/Downloads/Transcripts/0%20-%20Government/USA%20-%20NASA%20Kennedy/2009 07 06 - NASA's Kennedy Space Center - STS-119 Space Shuttle Launch_lQSpFfvtQQk - transcript (automated).pdf","Transcript Link")</f>
        <v>Transcript Link</v>
      </c>
    </row>
    <row r="1752" ht="330" spans="1:13">
      <c r="A1752" s="1" t="s">
        <v>7885</v>
      </c>
      <c r="B1752" s="1" t="s">
        <v>13</v>
      </c>
      <c r="C1752" s="4" t="s">
        <v>7886</v>
      </c>
      <c r="D1752" s="1" t="s">
        <v>7887</v>
      </c>
      <c r="E1752" s="1" t="s">
        <v>7888</v>
      </c>
      <c r="F1752" s="4" t="s">
        <v>17</v>
      </c>
      <c r="G1752" s="1" t="s">
        <v>18</v>
      </c>
      <c r="H1752" s="1" t="s">
        <v>19</v>
      </c>
      <c r="I1752" s="1" t="s">
        <v>20</v>
      </c>
      <c r="J1752" s="1" t="s">
        <v>7889</v>
      </c>
      <c r="K1752" s="1" t="s">
        <v>22</v>
      </c>
      <c r="L1752" s="1" t="str">
        <f>HYPERLINK("https://files.afu.se/Downloads/Transcripts/0%20-%20Government/USA%20-%20NASA%20Kennedy/2009 06 28 - NASA's Kennedy Space Center - GOES-O Weather Satellite Launches_WhhACIqczO4 - transcript (automated).pdf","Transcript Link")</f>
        <v>Transcript Link</v>
      </c>
      <c r="M1752" s="2" t="str">
        <f>HYPERLINK("https://files.afu.se/Downloads/Transcripts/0%20-%20Government/USA%20-%20NASA%20Kennedy/2009 06 28 - NASA's Kennedy Space Center - GOES-O Weather Satellite Launches_WhhACIqczO4 - transcript (automated).pdf","Transcript Link")</f>
        <v>Transcript Link</v>
      </c>
    </row>
    <row r="1753" ht="180" spans="1:13">
      <c r="A1753" s="1" t="s">
        <v>7890</v>
      </c>
      <c r="B1753" s="1" t="s">
        <v>13</v>
      </c>
      <c r="C1753" s="4" t="s">
        <v>7891</v>
      </c>
      <c r="D1753" s="1" t="s">
        <v>7892</v>
      </c>
      <c r="E1753" s="1" t="s">
        <v>7893</v>
      </c>
      <c r="F1753" s="4" t="s">
        <v>17</v>
      </c>
      <c r="G1753" s="1" t="s">
        <v>18</v>
      </c>
      <c r="H1753" s="1" t="s">
        <v>19</v>
      </c>
      <c r="I1753" s="1" t="s">
        <v>20</v>
      </c>
      <c r="J1753" s="1" t="s">
        <v>7894</v>
      </c>
      <c r="K1753" s="1" t="s">
        <v>22</v>
      </c>
      <c r="L1753" s="1" t="str">
        <f>HYPERLINK("https://files.afu.se/Downloads/Transcripts/0%20-%20Government/USA%20-%20NASA%20Kennedy/2009 06 19 - NASA's Kennedy Space Center - LRO LCROSS Preparing for Liftoff_jW39sJeLLWc - transcript (automated).pdf","Transcript Link")</f>
        <v>Transcript Link</v>
      </c>
      <c r="M1753" s="2" t="str">
        <f>HYPERLINK("https://files.afu.se/Downloads/Transcripts/0%20-%20Government/USA%20-%20NASA%20Kennedy/2009 06 19 - NASA's Kennedy Space Center - LRO LCROSS Preparing for Liftoff_jW39sJeLLWc - transcript (automated).pdf","Transcript Link")</f>
        <v>Transcript Link</v>
      </c>
    </row>
    <row r="1754" ht="255" spans="1:13">
      <c r="A1754" s="1" t="s">
        <v>7895</v>
      </c>
      <c r="B1754" s="1" t="s">
        <v>13</v>
      </c>
      <c r="C1754" s="4" t="s">
        <v>7896</v>
      </c>
      <c r="D1754" s="1" t="s">
        <v>7897</v>
      </c>
      <c r="E1754" s="1" t="s">
        <v>7898</v>
      </c>
      <c r="F1754" s="4" t="s">
        <v>17</v>
      </c>
      <c r="G1754" s="1" t="s">
        <v>18</v>
      </c>
      <c r="H1754" s="1" t="s">
        <v>19</v>
      </c>
      <c r="I1754" s="1" t="s">
        <v>20</v>
      </c>
      <c r="J1754" s="1" t="s">
        <v>7899</v>
      </c>
      <c r="K1754" s="1" t="s">
        <v>22</v>
      </c>
      <c r="L1754" s="1" t="str">
        <f>HYPERLINK("https://files.afu.se/Downloads/Transcripts/0%20-%20Government/USA%20-%20NASA%20Kennedy/2009 06 18 - NASA's Kennedy Space Center - LRO LCROSS  Launch_5cYClDjxwoo - transcript (automated).pdf","Transcript Link")</f>
        <v>Transcript Link</v>
      </c>
      <c r="M1754" s="2" t="str">
        <f>HYPERLINK("https://files.afu.se/Downloads/Transcripts/0%20-%20Government/USA%20-%20NASA%20Kennedy/2009 06 18 - NASA's Kennedy Space Center - LRO LCROSS  Launch_5cYClDjxwoo - transcript (automated).pdf","Transcript Link")</f>
        <v>Transcript Link</v>
      </c>
    </row>
    <row r="1755" ht="240" spans="1:13">
      <c r="A1755" s="1" t="s">
        <v>7895</v>
      </c>
      <c r="B1755" s="1" t="s">
        <v>13</v>
      </c>
      <c r="C1755" s="4" t="s">
        <v>7900</v>
      </c>
      <c r="D1755" s="1" t="s">
        <v>7901</v>
      </c>
      <c r="E1755" s="1" t="s">
        <v>7902</v>
      </c>
      <c r="F1755" s="4" t="s">
        <v>17</v>
      </c>
      <c r="G1755" s="1" t="s">
        <v>18</v>
      </c>
      <c r="H1755" s="1" t="s">
        <v>19</v>
      </c>
      <c r="I1755" s="1" t="s">
        <v>20</v>
      </c>
      <c r="J1755" s="1" t="s">
        <v>7903</v>
      </c>
      <c r="K1755" s="1" t="s">
        <v>22</v>
      </c>
      <c r="L1755" s="1" t="str">
        <f>HYPERLINK("https://files.afu.se/Downloads/Transcripts/0%20-%20Government/USA%20-%20NASA%20Kennedy/2009 06 18 - NASA's Kennedy Space Center - LRO-LCROSS Webcast Part 2 of 2_k1u7tX_4TyI - transcript (automated).pdf","Transcript Link")</f>
        <v>Transcript Link</v>
      </c>
      <c r="M1755" s="2" t="str">
        <f>HYPERLINK("https://files.afu.se/Downloads/Transcripts/0%20-%20Government/USA%20-%20NASA%20Kennedy/2009 06 18 - NASA's Kennedy Space Center - LRO-LCROSS Webcast Part 2 of 2_k1u7tX_4TyI - transcript (automated).pdf","Transcript Link")</f>
        <v>Transcript Link</v>
      </c>
    </row>
    <row r="1756" ht="240" spans="1:13">
      <c r="A1756" s="1" t="s">
        <v>7895</v>
      </c>
      <c r="B1756" s="1" t="s">
        <v>13</v>
      </c>
      <c r="C1756" s="4" t="s">
        <v>7904</v>
      </c>
      <c r="D1756" s="1" t="s">
        <v>7905</v>
      </c>
      <c r="E1756" s="1" t="s">
        <v>7902</v>
      </c>
      <c r="F1756" s="4" t="s">
        <v>17</v>
      </c>
      <c r="G1756" s="1" t="s">
        <v>18</v>
      </c>
      <c r="H1756" s="1" t="s">
        <v>19</v>
      </c>
      <c r="I1756" s="1" t="s">
        <v>20</v>
      </c>
      <c r="J1756" s="1" t="s">
        <v>7906</v>
      </c>
      <c r="K1756" s="1" t="s">
        <v>22</v>
      </c>
      <c r="L1756" s="1" t="str">
        <f>HYPERLINK("https://files.afu.se/Downloads/Transcripts/0%20-%20Government/USA%20-%20NASA%20Kennedy/2009 06 18 - NASA's Kennedy Space Center - LRO-LCROSS Webcast Part 1 of 2_2EDMGH1Esq4 - transcript (automated).pdf","Transcript Link")</f>
        <v>Transcript Link</v>
      </c>
      <c r="M1756" s="2" t="str">
        <f>HYPERLINK("https://files.afu.se/Downloads/Transcripts/0%20-%20Government/USA%20-%20NASA%20Kennedy/2009 06 18 - NASA's Kennedy Space Center - LRO-LCROSS Webcast Part 1 of 2_2EDMGH1Esq4 - transcript (automated).pdf","Transcript Link")</f>
        <v>Transcript Link</v>
      </c>
    </row>
    <row r="1757" ht="180" spans="1:13">
      <c r="A1757" s="1" t="s">
        <v>7907</v>
      </c>
      <c r="B1757" s="1" t="s">
        <v>13</v>
      </c>
      <c r="C1757" s="4" t="s">
        <v>7908</v>
      </c>
      <c r="D1757" s="1" t="s">
        <v>7909</v>
      </c>
      <c r="E1757" s="1" t="s">
        <v>7910</v>
      </c>
      <c r="F1757" s="4" t="s">
        <v>17</v>
      </c>
      <c r="G1757" s="1" t="s">
        <v>18</v>
      </c>
      <c r="H1757" s="1" t="s">
        <v>19</v>
      </c>
      <c r="I1757" s="1" t="s">
        <v>20</v>
      </c>
      <c r="J1757" s="1" t="s">
        <v>7911</v>
      </c>
      <c r="K1757" s="1" t="s">
        <v>22</v>
      </c>
      <c r="L1757" s="1" t="str">
        <f>HYPERLINK("https://files.afu.se/Downloads/Transcripts/0%20-%20Government/USA%20-%20NASA%20Kennedy/2009 06 17 - NASA's Kennedy Space Center - Our Destiny Continues_6W7Ld-JxQuw - transcript (automated).pdf","Transcript Link")</f>
        <v>Transcript Link</v>
      </c>
      <c r="M1757" s="2" t="str">
        <f>HYPERLINK("https://files.afu.se/Downloads/Transcripts/0%20-%20Government/USA%20-%20NASA%20Kennedy/2009 06 17 - NASA's Kennedy Space Center - Our Destiny Continues_6W7Ld-JxQuw - transcript (automated).pdf","Transcript Link")</f>
        <v>Transcript Link</v>
      </c>
    </row>
    <row r="1758" ht="240" spans="1:13">
      <c r="A1758" s="1" t="s">
        <v>7907</v>
      </c>
      <c r="B1758" s="1" t="s">
        <v>13</v>
      </c>
      <c r="C1758" s="4" t="s">
        <v>7912</v>
      </c>
      <c r="D1758" s="1" t="s">
        <v>7913</v>
      </c>
      <c r="E1758" s="1" t="s">
        <v>7914</v>
      </c>
      <c r="F1758" s="4" t="s">
        <v>17</v>
      </c>
      <c r="G1758" s="1" t="s">
        <v>18</v>
      </c>
      <c r="H1758" s="1" t="s">
        <v>19</v>
      </c>
      <c r="I1758" s="1" t="s">
        <v>20</v>
      </c>
      <c r="J1758" s="1" t="s">
        <v>7915</v>
      </c>
      <c r="K1758" s="1" t="s">
        <v>22</v>
      </c>
      <c r="L1758" s="1" t="str">
        <f>HYPERLINK("https://files.afu.se/Downloads/Transcripts/0%20-%20Government/USA%20-%20NASA%20Kennedy/2009 06 17 - NASA's Kennedy Space Center - STS-127 Mission Webcast_SmML27JfjIc - transcript (automated).pdf","Transcript Link")</f>
        <v>Transcript Link</v>
      </c>
      <c r="M1758" s="2" t="str">
        <f>HYPERLINK("https://files.afu.se/Downloads/Transcripts/0%20-%20Government/USA%20-%20NASA%20Kennedy/2009 06 17 - NASA's Kennedy Space Center - STS-127 Mission Webcast_SmML27JfjIc - transcript (automated).pdf","Transcript Link")</f>
        <v>Transcript Link</v>
      </c>
    </row>
    <row r="1759" ht="210" spans="1:13">
      <c r="A1759" s="1" t="s">
        <v>7916</v>
      </c>
      <c r="B1759" s="1" t="s">
        <v>13</v>
      </c>
      <c r="C1759" s="4" t="s">
        <v>7917</v>
      </c>
      <c r="D1759" s="1" t="s">
        <v>7918</v>
      </c>
      <c r="E1759" s="1" t="s">
        <v>7213</v>
      </c>
      <c r="F1759" s="4" t="s">
        <v>17</v>
      </c>
      <c r="G1759" s="1" t="s">
        <v>18</v>
      </c>
      <c r="H1759" s="1" t="s">
        <v>19</v>
      </c>
      <c r="I1759" s="1" t="s">
        <v>20</v>
      </c>
      <c r="J1759" s="1" t="s">
        <v>7919</v>
      </c>
      <c r="K1759" s="1" t="s">
        <v>22</v>
      </c>
      <c r="L1759" s="1" t="str">
        <f>HYPERLINK("https://files.afu.se/Downloads/Transcripts/0%20-%20Government/USA%20-%20NASA%20Kennedy/2009 06 02 - NASA's Kennedy Space Center - STS-125 Space Shuttle Launch_ZCOPYSk6-t0 - transcript (automated).pdf","Transcript Link")</f>
        <v>Transcript Link</v>
      </c>
      <c r="M1759" s="2" t="str">
        <f>HYPERLINK("https://files.afu.se/Downloads/Transcripts/0%20-%20Government/USA%20-%20NASA%20Kennedy/2009 06 02 - NASA's Kennedy Space Center - STS-125 Space Shuttle Launch_ZCOPYSk6-t0 - transcript (automated).pdf","Transcript Link")</f>
        <v>Transcript Link</v>
      </c>
    </row>
    <row r="1760" ht="270" spans="1:13">
      <c r="A1760" s="1" t="s">
        <v>7916</v>
      </c>
      <c r="B1760" s="1" t="s">
        <v>13</v>
      </c>
      <c r="C1760" s="4" t="s">
        <v>7920</v>
      </c>
      <c r="D1760" s="1" t="s">
        <v>7216</v>
      </c>
      <c r="E1760" s="1" t="s">
        <v>7921</v>
      </c>
      <c r="F1760" s="4" t="s">
        <v>17</v>
      </c>
      <c r="G1760" s="1" t="s">
        <v>18</v>
      </c>
      <c r="H1760" s="1" t="s">
        <v>19</v>
      </c>
      <c r="I1760" s="1" t="s">
        <v>20</v>
      </c>
      <c r="J1760" s="1" t="s">
        <v>7922</v>
      </c>
      <c r="K1760" s="1" t="s">
        <v>22</v>
      </c>
      <c r="L1760" s="1" t="str">
        <f>HYPERLINK("https://files.afu.se/Downloads/Transcripts/0%20-%20Government/USA%20-%20NASA%20Kennedy/2009 06 02 - NASA's Kennedy Space Center - STS-125 Space Shuttle Landing_xnoJoRtJFsk - transcript (automated).pdf","Transcript Link")</f>
        <v>Transcript Link</v>
      </c>
      <c r="M1760" s="2" t="str">
        <f>HYPERLINK("https://files.afu.se/Downloads/Transcripts/0%20-%20Government/USA%20-%20NASA%20Kennedy/2009 06 02 - NASA's Kennedy Space Center - STS-125 Space Shuttle Landing_xnoJoRtJFsk - transcript (automated).pdf","Transcript Link")</f>
        <v>Transcript Link</v>
      </c>
    </row>
  </sheetData>
  <hyperlinks>
    <hyperlink ref="C2" r:id="rId1" display="https://youtu.be/jel6l1EQJw8"/>
    <hyperlink ref="F2" r:id="rId2" display="https://files.afu.se/Downloads/Transcripts/0%20-%20Government/USA%20-%20NASA%20Kennedy/"/>
    <hyperlink ref="C3" r:id="rId3" display="https://youtu.be/VaBjH9Z6qzM"/>
    <hyperlink ref="F3" r:id="rId2" display="https://files.afu.se/Downloads/Transcripts/0%20-%20Government/USA%20-%20NASA%20Kennedy/"/>
    <hyperlink ref="C4" r:id="rId4" display="https://youtu.be/7k8hexcqz_M"/>
    <hyperlink ref="F4" r:id="rId2" display="https://files.afu.se/Downloads/Transcripts/0%20-%20Government/USA%20-%20NASA%20Kennedy/"/>
    <hyperlink ref="C5" r:id="rId5" display="https://youtu.be/AXGGQdw-zzA"/>
    <hyperlink ref="F5" r:id="rId2" display="https://files.afu.se/Downloads/Transcripts/0%20-%20Government/USA%20-%20NASA%20Kennedy/"/>
    <hyperlink ref="C6" r:id="rId6" display="https://youtu.be/07qDIC68wds"/>
    <hyperlink ref="F6" r:id="rId2" display="https://files.afu.se/Downloads/Transcripts/0%20-%20Government/USA%20-%20NASA%20Kennedy/"/>
    <hyperlink ref="C7" r:id="rId7" display="https://youtu.be/Nf5HU1LgO2A"/>
    <hyperlink ref="F7" r:id="rId2" display="https://files.afu.se/Downloads/Transcripts/0%20-%20Government/USA%20-%20NASA%20Kennedy/"/>
    <hyperlink ref="C8" r:id="rId8" display="https://youtu.be/O7dNT2qA1dw"/>
    <hyperlink ref="F8" r:id="rId2" display="https://files.afu.se/Downloads/Transcripts/0%20-%20Government/USA%20-%20NASA%20Kennedy/"/>
    <hyperlink ref="C9" r:id="rId9" display="https://youtu.be/aafdQuVxQnY"/>
    <hyperlink ref="F9" r:id="rId2" display="https://files.afu.se/Downloads/Transcripts/0%20-%20Government/USA%20-%20NASA%20Kennedy/"/>
    <hyperlink ref="C10" r:id="rId10" display="https://youtu.be/obf1VDbfclI"/>
    <hyperlink ref="F10" r:id="rId2" display="https://files.afu.se/Downloads/Transcripts/0%20-%20Government/USA%20-%20NASA%20Kennedy/"/>
    <hyperlink ref="C11" r:id="rId11" display="https://youtu.be/G7iryzDqWKY"/>
    <hyperlink ref="F11" r:id="rId2" display="https://files.afu.se/Downloads/Transcripts/0%20-%20Government/USA%20-%20NASA%20Kennedy/"/>
    <hyperlink ref="C12" r:id="rId12" display="https://youtu.be/rQXdDfKVbNA"/>
    <hyperlink ref="F12" r:id="rId2" display="https://files.afu.se/Downloads/Transcripts/0%20-%20Government/USA%20-%20NASA%20Kennedy/"/>
    <hyperlink ref="C13" r:id="rId13" display="https://youtu.be/YugU_jgcrAg"/>
    <hyperlink ref="F13" r:id="rId2" display="https://files.afu.se/Downloads/Transcripts/0%20-%20Government/USA%20-%20NASA%20Kennedy/"/>
    <hyperlink ref="C14" r:id="rId14" display="https://youtu.be/PbYHh1gvt08"/>
    <hyperlink ref="F14" r:id="rId2" display="https://files.afu.se/Downloads/Transcripts/0%20-%20Government/USA%20-%20NASA%20Kennedy/"/>
    <hyperlink ref="C15" r:id="rId15" display="https://youtu.be/tizJ-w3lljY"/>
    <hyperlink ref="F15" r:id="rId2" display="https://files.afu.se/Downloads/Transcripts/0%20-%20Government/USA%20-%20NASA%20Kennedy/"/>
    <hyperlink ref="C16" r:id="rId16" display="https://youtu.be/x61JwR6HwCw"/>
    <hyperlink ref="F16" r:id="rId2" display="https://files.afu.se/Downloads/Transcripts/0%20-%20Government/USA%20-%20NASA%20Kennedy/"/>
    <hyperlink ref="C17" r:id="rId17" display="https://youtu.be/M6lgw1KKAw4"/>
    <hyperlink ref="F17" r:id="rId2" display="https://files.afu.se/Downloads/Transcripts/0%20-%20Government/USA%20-%20NASA%20Kennedy/"/>
    <hyperlink ref="C18" r:id="rId18" display="https://youtu.be/v9TVkRx12OI"/>
    <hyperlink ref="F18" r:id="rId2" display="https://files.afu.se/Downloads/Transcripts/0%20-%20Government/USA%20-%20NASA%20Kennedy/"/>
    <hyperlink ref="C19" r:id="rId19" display="https://youtu.be/ExBBwTzthnw"/>
    <hyperlink ref="F19" r:id="rId2" display="https://files.afu.se/Downloads/Transcripts/0%20-%20Government/USA%20-%20NASA%20Kennedy/"/>
    <hyperlink ref="C20" r:id="rId20" display="https://youtu.be/hhs3N4DePyk"/>
    <hyperlink ref="F20" r:id="rId2" display="https://files.afu.se/Downloads/Transcripts/0%20-%20Government/USA%20-%20NASA%20Kennedy/"/>
    <hyperlink ref="C21" r:id="rId21" display="https://youtu.be/fhaWaGZJaCw"/>
    <hyperlink ref="F21" r:id="rId2" display="https://files.afu.se/Downloads/Transcripts/0%20-%20Government/USA%20-%20NASA%20Kennedy/"/>
    <hyperlink ref="C22" r:id="rId22" display="https://youtu.be/xxDM77e9kXI"/>
    <hyperlink ref="F22" r:id="rId2" display="https://files.afu.se/Downloads/Transcripts/0%20-%20Government/USA%20-%20NASA%20Kennedy/"/>
    <hyperlink ref="C23" r:id="rId23" display="https://youtu.be/JzfZD8nimV4"/>
    <hyperlink ref="F23" r:id="rId2" display="https://files.afu.se/Downloads/Transcripts/0%20-%20Government/USA%20-%20NASA%20Kennedy/"/>
    <hyperlink ref="C24" r:id="rId24" display="https://youtu.be/3qveASgrpA8"/>
    <hyperlink ref="F24" r:id="rId2" display="https://files.afu.se/Downloads/Transcripts/0%20-%20Government/USA%20-%20NASA%20Kennedy/"/>
    <hyperlink ref="C25" r:id="rId25" display="https://youtu.be/9m9ozFud1UE"/>
    <hyperlink ref="F25" r:id="rId2" display="https://files.afu.se/Downloads/Transcripts/0%20-%20Government/USA%20-%20NASA%20Kennedy/"/>
    <hyperlink ref="C26" r:id="rId26" display="https://youtu.be/LOEE85wuY1M"/>
    <hyperlink ref="F26" r:id="rId2" display="https://files.afu.se/Downloads/Transcripts/0%20-%20Government/USA%20-%20NASA%20Kennedy/"/>
    <hyperlink ref="C27" r:id="rId27" display="https://youtu.be/aWCCNYJV3Zw"/>
    <hyperlink ref="F27" r:id="rId2" display="https://files.afu.se/Downloads/Transcripts/0%20-%20Government/USA%20-%20NASA%20Kennedy/"/>
    <hyperlink ref="C28" r:id="rId28" display="https://youtu.be/VUiEdqcLg-k"/>
    <hyperlink ref="F28" r:id="rId2" display="https://files.afu.se/Downloads/Transcripts/0%20-%20Government/USA%20-%20NASA%20Kennedy/"/>
    <hyperlink ref="C29" r:id="rId29" display="https://youtu.be/gJUip5d66fw"/>
    <hyperlink ref="F29" r:id="rId2" display="https://files.afu.se/Downloads/Transcripts/0%20-%20Government/USA%20-%20NASA%20Kennedy/"/>
    <hyperlink ref="C30" r:id="rId30" display="https://youtu.be/OB_MnVgA-C0"/>
    <hyperlink ref="F30" r:id="rId2" display="https://files.afu.se/Downloads/Transcripts/0%20-%20Government/USA%20-%20NASA%20Kennedy/"/>
    <hyperlink ref="C31" r:id="rId31" display="https://youtu.be/ZhvFXN8T8X0"/>
    <hyperlink ref="F31" r:id="rId2" display="https://files.afu.se/Downloads/Transcripts/0%20-%20Government/USA%20-%20NASA%20Kennedy/"/>
    <hyperlink ref="C32" r:id="rId32" display="https://youtu.be/YCttfniepys"/>
    <hyperlink ref="F32" r:id="rId2" display="https://files.afu.se/Downloads/Transcripts/0%20-%20Government/USA%20-%20NASA%20Kennedy/"/>
    <hyperlink ref="C33" r:id="rId33" display="https://youtu.be/-Y8jrH-IAuE"/>
    <hyperlink ref="F33" r:id="rId2" display="https://files.afu.se/Downloads/Transcripts/0%20-%20Government/USA%20-%20NASA%20Kennedy/"/>
    <hyperlink ref="C34" r:id="rId34" display="https://youtu.be/juvexqBPyNo"/>
    <hyperlink ref="F34" r:id="rId2" display="https://files.afu.se/Downloads/Transcripts/0%20-%20Government/USA%20-%20NASA%20Kennedy/"/>
    <hyperlink ref="C35" r:id="rId35" display="https://youtu.be/vShQYEs1M4M"/>
    <hyperlink ref="F35" r:id="rId2" display="https://files.afu.se/Downloads/Transcripts/0%20-%20Government/USA%20-%20NASA%20Kennedy/"/>
    <hyperlink ref="C36" r:id="rId36" display="https://youtu.be/eeoiI1rslyA"/>
    <hyperlink ref="F36" r:id="rId2" display="https://files.afu.se/Downloads/Transcripts/0%20-%20Government/USA%20-%20NASA%20Kennedy/"/>
    <hyperlink ref="C37" r:id="rId37" display="https://youtu.be/JTVS9M5xlpg"/>
    <hyperlink ref="F37" r:id="rId2" display="https://files.afu.se/Downloads/Transcripts/0%20-%20Government/USA%20-%20NASA%20Kennedy/"/>
    <hyperlink ref="C38" r:id="rId38" display="https://youtu.be/DMEiZ1dAnm4"/>
    <hyperlink ref="F38" r:id="rId2" display="https://files.afu.se/Downloads/Transcripts/0%20-%20Government/USA%20-%20NASA%20Kennedy/"/>
    <hyperlink ref="C39" r:id="rId39" display="https://youtu.be/xpO4_IJINAM"/>
    <hyperlink ref="F39" r:id="rId2" display="https://files.afu.se/Downloads/Transcripts/0%20-%20Government/USA%20-%20NASA%20Kennedy/"/>
    <hyperlink ref="C40" r:id="rId40" display="https://youtu.be/eKTHNm1X7Fo"/>
    <hyperlink ref="F40" r:id="rId2" display="https://files.afu.se/Downloads/Transcripts/0%20-%20Government/USA%20-%20NASA%20Kennedy/"/>
    <hyperlink ref="C41" r:id="rId41" display="https://youtu.be/oP92I9-5u3k"/>
    <hyperlink ref="F41" r:id="rId2" display="https://files.afu.se/Downloads/Transcripts/0%20-%20Government/USA%20-%20NASA%20Kennedy/"/>
    <hyperlink ref="C42" r:id="rId42" display="https://youtu.be/m1WmaRrAvfU"/>
    <hyperlink ref="F42" r:id="rId2" display="https://files.afu.se/Downloads/Transcripts/0%20-%20Government/USA%20-%20NASA%20Kennedy/"/>
    <hyperlink ref="C43" r:id="rId43" display="https://youtu.be/LEMWJM-sySY"/>
    <hyperlink ref="F43" r:id="rId2" display="https://files.afu.se/Downloads/Transcripts/0%20-%20Government/USA%20-%20NASA%20Kennedy/"/>
    <hyperlink ref="C44" r:id="rId44" display="https://youtu.be/B1CmzK2AcQQ"/>
    <hyperlink ref="F44" r:id="rId2" display="https://files.afu.se/Downloads/Transcripts/0%20-%20Government/USA%20-%20NASA%20Kennedy/"/>
    <hyperlink ref="C45" r:id="rId45" display="https://youtu.be/9Gn4LyWtQwg"/>
    <hyperlink ref="F45" r:id="rId2" display="https://files.afu.se/Downloads/Transcripts/0%20-%20Government/USA%20-%20NASA%20Kennedy/"/>
    <hyperlink ref="C46" r:id="rId46" display="https://youtu.be/I5CNP-JXJjM"/>
    <hyperlink ref="F46" r:id="rId2" display="https://files.afu.se/Downloads/Transcripts/0%20-%20Government/USA%20-%20NASA%20Kennedy/"/>
    <hyperlink ref="C47" r:id="rId47" display="https://youtu.be/YoG0nRbJdkY"/>
    <hyperlink ref="F47" r:id="rId2" display="https://files.afu.se/Downloads/Transcripts/0%20-%20Government/USA%20-%20NASA%20Kennedy/"/>
    <hyperlink ref="C48" r:id="rId48" display="https://youtu.be/4In3exHN5V8"/>
    <hyperlink ref="F48" r:id="rId2" display="https://files.afu.se/Downloads/Transcripts/0%20-%20Government/USA%20-%20NASA%20Kennedy/"/>
    <hyperlink ref="C49" r:id="rId49" display="https://youtu.be/PC_NsLXHo6c"/>
    <hyperlink ref="F49" r:id="rId2" display="https://files.afu.se/Downloads/Transcripts/0%20-%20Government/USA%20-%20NASA%20Kennedy/"/>
    <hyperlink ref="C50" r:id="rId50" display="https://youtu.be/PHOBxVzCFVo"/>
    <hyperlink ref="F50" r:id="rId2" display="https://files.afu.se/Downloads/Transcripts/0%20-%20Government/USA%20-%20NASA%20Kennedy/"/>
    <hyperlink ref="C51" r:id="rId51" display="https://youtu.be/X11CKvSHks0"/>
    <hyperlink ref="F51" r:id="rId2" display="https://files.afu.se/Downloads/Transcripts/0%20-%20Government/USA%20-%20NASA%20Kennedy/"/>
    <hyperlink ref="C52" r:id="rId52" display="https://youtu.be/zA8hzms2UYY"/>
    <hyperlink ref="F52" r:id="rId2" display="https://files.afu.se/Downloads/Transcripts/0%20-%20Government/USA%20-%20NASA%20Kennedy/"/>
    <hyperlink ref="C53" r:id="rId53" display="https://youtu.be/TSHGHIXzxEM"/>
    <hyperlink ref="F53" r:id="rId2" display="https://files.afu.se/Downloads/Transcripts/0%20-%20Government/USA%20-%20NASA%20Kennedy/"/>
    <hyperlink ref="C54" r:id="rId54" display="https://youtu.be/1dw9gHzD1KI"/>
    <hyperlink ref="F54" r:id="rId2" display="https://files.afu.se/Downloads/Transcripts/0%20-%20Government/USA%20-%20NASA%20Kennedy/"/>
    <hyperlink ref="C55" r:id="rId55" display="https://youtu.be/CMKP9O5ZI84"/>
    <hyperlink ref="F55" r:id="rId2" display="https://files.afu.se/Downloads/Transcripts/0%20-%20Government/USA%20-%20NASA%20Kennedy/"/>
    <hyperlink ref="C56" r:id="rId56" display="https://youtu.be/2tsKGNx5kP8"/>
    <hyperlink ref="F56" r:id="rId2" display="https://files.afu.se/Downloads/Transcripts/0%20-%20Government/USA%20-%20NASA%20Kennedy/"/>
    <hyperlink ref="C57" r:id="rId57" display="https://youtu.be/DviYmK1kSSs"/>
    <hyperlink ref="F57" r:id="rId2" display="https://files.afu.se/Downloads/Transcripts/0%20-%20Government/USA%20-%20NASA%20Kennedy/"/>
    <hyperlink ref="C58" r:id="rId58" display="https://youtu.be/XxU880W9ioo"/>
    <hyperlink ref="F58" r:id="rId2" display="https://files.afu.se/Downloads/Transcripts/0%20-%20Government/USA%20-%20NASA%20Kennedy/"/>
    <hyperlink ref="C59" r:id="rId59" display="https://youtu.be/i5GmYlTCTog"/>
    <hyperlink ref="F59" r:id="rId2" display="https://files.afu.se/Downloads/Transcripts/0%20-%20Government/USA%20-%20NASA%20Kennedy/"/>
    <hyperlink ref="C60" r:id="rId60" display="https://youtu.be/NDZwhtDBICs"/>
    <hyperlink ref="F60" r:id="rId2" display="https://files.afu.se/Downloads/Transcripts/0%20-%20Government/USA%20-%20NASA%20Kennedy/"/>
    <hyperlink ref="C61" r:id="rId61" display="https://youtu.be/gheM670jxzQ"/>
    <hyperlink ref="F61" r:id="rId2" display="https://files.afu.se/Downloads/Transcripts/0%20-%20Government/USA%20-%20NASA%20Kennedy/"/>
    <hyperlink ref="C62" r:id="rId62" display="https://youtu.be/n9c0kLCFqok"/>
    <hyperlink ref="F62" r:id="rId2" display="https://files.afu.se/Downloads/Transcripts/0%20-%20Government/USA%20-%20NASA%20Kennedy/"/>
    <hyperlink ref="C63" r:id="rId63" display="https://youtu.be/s-hpDoeHsJg"/>
    <hyperlink ref="F63" r:id="rId2" display="https://files.afu.se/Downloads/Transcripts/0%20-%20Government/USA%20-%20NASA%20Kennedy/"/>
    <hyperlink ref="C64" r:id="rId64" display="https://youtu.be/y_3zJaZOe1E"/>
    <hyperlink ref="F64" r:id="rId2" display="https://files.afu.se/Downloads/Transcripts/0%20-%20Government/USA%20-%20NASA%20Kennedy/"/>
    <hyperlink ref="C65" r:id="rId65" display="https://youtu.be/DUWvM46ld3Q"/>
    <hyperlink ref="F65" r:id="rId2" display="https://files.afu.se/Downloads/Transcripts/0%20-%20Government/USA%20-%20NASA%20Kennedy/"/>
    <hyperlink ref="C66" r:id="rId66" display="https://youtu.be/Y2P2-fV2f0o"/>
    <hyperlink ref="F66" r:id="rId2" display="https://files.afu.se/Downloads/Transcripts/0%20-%20Government/USA%20-%20NASA%20Kennedy/"/>
    <hyperlink ref="C67" r:id="rId67" display="https://youtu.be/vdL8a4r44kM"/>
    <hyperlink ref="F67" r:id="rId2" display="https://files.afu.se/Downloads/Transcripts/0%20-%20Government/USA%20-%20NASA%20Kennedy/"/>
    <hyperlink ref="C68" r:id="rId68" display="https://youtu.be/qNpAxzg_v9E"/>
    <hyperlink ref="F68" r:id="rId2" display="https://files.afu.se/Downloads/Transcripts/0%20-%20Government/USA%20-%20NASA%20Kennedy/"/>
    <hyperlink ref="C69" r:id="rId69" display="https://youtu.be/lrVVz1mPnYQ"/>
    <hyperlink ref="F69" r:id="rId2" display="https://files.afu.se/Downloads/Transcripts/0%20-%20Government/USA%20-%20NASA%20Kennedy/"/>
    <hyperlink ref="C70" r:id="rId70" display="https://youtu.be/E2b_zy0DFkg"/>
    <hyperlink ref="F70" r:id="rId2" display="https://files.afu.se/Downloads/Transcripts/0%20-%20Government/USA%20-%20NASA%20Kennedy/"/>
    <hyperlink ref="C71" r:id="rId71" display="https://youtu.be/qXFr4Rz8QV4"/>
    <hyperlink ref="F71" r:id="rId2" display="https://files.afu.se/Downloads/Transcripts/0%20-%20Government/USA%20-%20NASA%20Kennedy/"/>
    <hyperlink ref="C72" r:id="rId72" display="https://youtu.be/A0pexQImxj0"/>
    <hyperlink ref="F72" r:id="rId2" display="https://files.afu.se/Downloads/Transcripts/0%20-%20Government/USA%20-%20NASA%20Kennedy/"/>
    <hyperlink ref="C73" r:id="rId73" display="https://youtu.be/XCat2sUjy4s"/>
    <hyperlink ref="F73" r:id="rId2" display="https://files.afu.se/Downloads/Transcripts/0%20-%20Government/USA%20-%20NASA%20Kennedy/"/>
    <hyperlink ref="C74" r:id="rId74" display="https://youtu.be/66ToNkguhtA"/>
    <hyperlink ref="F74" r:id="rId2" display="https://files.afu.se/Downloads/Transcripts/0%20-%20Government/USA%20-%20NASA%20Kennedy/"/>
    <hyperlink ref="C75" r:id="rId75" display="https://youtu.be/Cir0g--CdTc"/>
    <hyperlink ref="F75" r:id="rId2" display="https://files.afu.se/Downloads/Transcripts/0%20-%20Government/USA%20-%20NASA%20Kennedy/"/>
    <hyperlink ref="C76" r:id="rId76" display="https://youtu.be/phGTKOEEtCg"/>
    <hyperlink ref="F76" r:id="rId2" display="https://files.afu.se/Downloads/Transcripts/0%20-%20Government/USA%20-%20NASA%20Kennedy/"/>
    <hyperlink ref="C77" r:id="rId77" display="https://youtu.be/2plQe69M-MI"/>
    <hyperlink ref="F77" r:id="rId2" display="https://files.afu.se/Downloads/Transcripts/0%20-%20Government/USA%20-%20NASA%20Kennedy/"/>
    <hyperlink ref="C78" r:id="rId78" display="https://youtu.be/YYdnp-fXa-Q"/>
    <hyperlink ref="F78" r:id="rId2" display="https://files.afu.se/Downloads/Transcripts/0%20-%20Government/USA%20-%20NASA%20Kennedy/"/>
    <hyperlink ref="C79" r:id="rId79" display="https://youtu.be/4GNHdLTAkLU"/>
    <hyperlink ref="F79" r:id="rId2" display="https://files.afu.se/Downloads/Transcripts/0%20-%20Government/USA%20-%20NASA%20Kennedy/"/>
    <hyperlink ref="C80" r:id="rId80" display="https://youtu.be/CRW7eQ44t7U"/>
    <hyperlink ref="F80" r:id="rId2" display="https://files.afu.se/Downloads/Transcripts/0%20-%20Government/USA%20-%20NASA%20Kennedy/"/>
    <hyperlink ref="C81" r:id="rId81" display="https://youtu.be/JD5jMpcBT10"/>
    <hyperlink ref="F81" r:id="rId2" display="https://files.afu.se/Downloads/Transcripts/0%20-%20Government/USA%20-%20NASA%20Kennedy/"/>
    <hyperlink ref="C82" r:id="rId82" display="https://youtu.be/FHpq9vKJQFU"/>
    <hyperlink ref="F82" r:id="rId2" display="https://files.afu.se/Downloads/Transcripts/0%20-%20Government/USA%20-%20NASA%20Kennedy/"/>
    <hyperlink ref="C83" r:id="rId83" display="https://youtu.be/kALGpL1uFHk"/>
    <hyperlink ref="F83" r:id="rId2" display="https://files.afu.se/Downloads/Transcripts/0%20-%20Government/USA%20-%20NASA%20Kennedy/"/>
    <hyperlink ref="C84" r:id="rId84" display="https://youtu.be/vspLSxP7hmY"/>
    <hyperlink ref="F84" r:id="rId2" display="https://files.afu.se/Downloads/Transcripts/0%20-%20Government/USA%20-%20NASA%20Kennedy/"/>
    <hyperlink ref="C85" r:id="rId85" display="https://youtu.be/rcDTlEyb9kA"/>
    <hyperlink ref="F85" r:id="rId2" display="https://files.afu.se/Downloads/Transcripts/0%20-%20Government/USA%20-%20NASA%20Kennedy/"/>
    <hyperlink ref="C86" r:id="rId86" display="https://youtu.be/rZiQgf3oF9A"/>
    <hyperlink ref="F86" r:id="rId2" display="https://files.afu.se/Downloads/Transcripts/0%20-%20Government/USA%20-%20NASA%20Kennedy/"/>
    <hyperlink ref="C87" r:id="rId87" display="https://youtu.be/M1AfFVi5iOk"/>
    <hyperlink ref="F87" r:id="rId2" display="https://files.afu.se/Downloads/Transcripts/0%20-%20Government/USA%20-%20NASA%20Kennedy/"/>
    <hyperlink ref="C88" r:id="rId88" display="https://youtu.be/PFPpI3AMJLc"/>
    <hyperlink ref="F88" r:id="rId2" display="https://files.afu.se/Downloads/Transcripts/0%20-%20Government/USA%20-%20NASA%20Kennedy/"/>
    <hyperlink ref="C89" r:id="rId89" display="https://youtu.be/GrS72QDfjF4"/>
    <hyperlink ref="F89" r:id="rId2" display="https://files.afu.se/Downloads/Transcripts/0%20-%20Government/USA%20-%20NASA%20Kennedy/"/>
    <hyperlink ref="C90" r:id="rId90" display="https://youtu.be/jj75Ptm4NRo"/>
    <hyperlink ref="F90" r:id="rId2" display="https://files.afu.se/Downloads/Transcripts/0%20-%20Government/USA%20-%20NASA%20Kennedy/"/>
    <hyperlink ref="C91" r:id="rId91" display="https://youtu.be/J2cVwjXPa_U"/>
    <hyperlink ref="F91" r:id="rId2" display="https://files.afu.se/Downloads/Transcripts/0%20-%20Government/USA%20-%20NASA%20Kennedy/"/>
    <hyperlink ref="C92" r:id="rId92" display="https://youtu.be/B_Cj80SvHKY"/>
    <hyperlink ref="F92" r:id="rId2" display="https://files.afu.se/Downloads/Transcripts/0%20-%20Government/USA%20-%20NASA%20Kennedy/"/>
    <hyperlink ref="C93" r:id="rId93" display="https://youtu.be/eEUmiVNjb3k"/>
    <hyperlink ref="F93" r:id="rId2" display="https://files.afu.se/Downloads/Transcripts/0%20-%20Government/USA%20-%20NASA%20Kennedy/"/>
    <hyperlink ref="C94" r:id="rId94" display="https://youtu.be/0QD9FamCL0c"/>
    <hyperlink ref="F94" r:id="rId2" display="https://files.afu.se/Downloads/Transcripts/0%20-%20Government/USA%20-%20NASA%20Kennedy/"/>
    <hyperlink ref="C95" r:id="rId95" display="https://youtu.be/KsDM59EniUA"/>
    <hyperlink ref="F95" r:id="rId2" display="https://files.afu.se/Downloads/Transcripts/0%20-%20Government/USA%20-%20NASA%20Kennedy/"/>
    <hyperlink ref="C96" r:id="rId96" display="https://youtu.be/jsgf8OmdwW0"/>
    <hyperlink ref="F96" r:id="rId2" display="https://files.afu.se/Downloads/Transcripts/0%20-%20Government/USA%20-%20NASA%20Kennedy/"/>
    <hyperlink ref="C97" r:id="rId97" display="https://youtu.be/EVrb-caONU4"/>
    <hyperlink ref="F97" r:id="rId2" display="https://files.afu.se/Downloads/Transcripts/0%20-%20Government/USA%20-%20NASA%20Kennedy/"/>
    <hyperlink ref="C98" r:id="rId98" display="https://youtu.be/xfaHIZy2rkc"/>
    <hyperlink ref="F98" r:id="rId2" display="https://files.afu.se/Downloads/Transcripts/0%20-%20Government/USA%20-%20NASA%20Kennedy/"/>
    <hyperlink ref="C99" r:id="rId99" display="https://youtu.be/4c9z5lWA25Y"/>
    <hyperlink ref="F99" r:id="rId2" display="https://files.afu.se/Downloads/Transcripts/0%20-%20Government/USA%20-%20NASA%20Kennedy/"/>
    <hyperlink ref="C100" r:id="rId100" display="https://youtu.be/1puHol4ycW0"/>
    <hyperlink ref="F100" r:id="rId2" display="https://files.afu.se/Downloads/Transcripts/0%20-%20Government/USA%20-%20NASA%20Kennedy/"/>
    <hyperlink ref="C101" r:id="rId101" display="https://youtu.be/KnyBsPtDuj8"/>
    <hyperlink ref="F101" r:id="rId2" display="https://files.afu.se/Downloads/Transcripts/0%20-%20Government/USA%20-%20NASA%20Kennedy/"/>
    <hyperlink ref="C102" r:id="rId102" display="https://youtu.be/laKVLFai9Gk"/>
    <hyperlink ref="F102" r:id="rId2" display="https://files.afu.se/Downloads/Transcripts/0%20-%20Government/USA%20-%20NASA%20Kennedy/"/>
    <hyperlink ref="C103" r:id="rId103" display="https://youtu.be/1iVeJN7m1Dw"/>
    <hyperlink ref="F103" r:id="rId2" display="https://files.afu.se/Downloads/Transcripts/0%20-%20Government/USA%20-%20NASA%20Kennedy/"/>
    <hyperlink ref="C104" r:id="rId104" display="https://youtu.be/H1IAT9hJcLs"/>
    <hyperlink ref="F104" r:id="rId2" display="https://files.afu.se/Downloads/Transcripts/0%20-%20Government/USA%20-%20NASA%20Kennedy/"/>
    <hyperlink ref="C105" r:id="rId105" display="https://youtu.be/JcGP7F_es-E"/>
    <hyperlink ref="F105" r:id="rId2" display="https://files.afu.se/Downloads/Transcripts/0%20-%20Government/USA%20-%20NASA%20Kennedy/"/>
    <hyperlink ref="C106" r:id="rId106" display="https://youtu.be/JgjlJ1UEmAQ"/>
    <hyperlink ref="F106" r:id="rId2" display="https://files.afu.se/Downloads/Transcripts/0%20-%20Government/USA%20-%20NASA%20Kennedy/"/>
    <hyperlink ref="C107" r:id="rId107" display="https://youtu.be/IJ3AHhoBDIU"/>
    <hyperlink ref="F107" r:id="rId2" display="https://files.afu.se/Downloads/Transcripts/0%20-%20Government/USA%20-%20NASA%20Kennedy/"/>
    <hyperlink ref="C108" r:id="rId108" display="https://youtu.be/dbGQ37bIIHE"/>
    <hyperlink ref="F108" r:id="rId2" display="https://files.afu.se/Downloads/Transcripts/0%20-%20Government/USA%20-%20NASA%20Kennedy/"/>
    <hyperlink ref="C109" r:id="rId109" display="https://youtu.be/UXn5Yp1tt6w"/>
    <hyperlink ref="F109" r:id="rId2" display="https://files.afu.se/Downloads/Transcripts/0%20-%20Government/USA%20-%20NASA%20Kennedy/"/>
    <hyperlink ref="C110" r:id="rId110" display="https://youtu.be/UFDYp_LIDC4"/>
    <hyperlink ref="F110" r:id="rId2" display="https://files.afu.se/Downloads/Transcripts/0%20-%20Government/USA%20-%20NASA%20Kennedy/"/>
    <hyperlink ref="C111" r:id="rId111" display="https://youtu.be/1zIcJ-pzTQ8"/>
    <hyperlink ref="F111" r:id="rId2" display="https://files.afu.se/Downloads/Transcripts/0%20-%20Government/USA%20-%20NASA%20Kennedy/"/>
    <hyperlink ref="C112" r:id="rId112" display="https://youtu.be/7x8akihavis"/>
    <hyperlink ref="F112" r:id="rId2" display="https://files.afu.se/Downloads/Transcripts/0%20-%20Government/USA%20-%20NASA%20Kennedy/"/>
    <hyperlink ref="C113" r:id="rId113" display="https://youtu.be/MS4Js-Sfee4"/>
    <hyperlink ref="F113" r:id="rId2" display="https://files.afu.se/Downloads/Transcripts/0%20-%20Government/USA%20-%20NASA%20Kennedy/"/>
    <hyperlink ref="C114" r:id="rId114" display="https://youtu.be/oeuU_ffBlGI"/>
    <hyperlink ref="F114" r:id="rId2" display="https://files.afu.se/Downloads/Transcripts/0%20-%20Government/USA%20-%20NASA%20Kennedy/"/>
    <hyperlink ref="C115" r:id="rId115" display="https://youtu.be/rlriQ8HZD-c"/>
    <hyperlink ref="F115" r:id="rId2" display="https://files.afu.se/Downloads/Transcripts/0%20-%20Government/USA%20-%20NASA%20Kennedy/"/>
    <hyperlink ref="C116" r:id="rId116" display="https://youtu.be/EK_2HMDEKLs"/>
    <hyperlink ref="F116" r:id="rId2" display="https://files.afu.se/Downloads/Transcripts/0%20-%20Government/USA%20-%20NASA%20Kennedy/"/>
    <hyperlink ref="C117" r:id="rId117" display="https://youtu.be/TrkaGePQfZ4"/>
    <hyperlink ref="F117" r:id="rId2" display="https://files.afu.se/Downloads/Transcripts/0%20-%20Government/USA%20-%20NASA%20Kennedy/"/>
    <hyperlink ref="C118" r:id="rId118" display="https://youtu.be/ruDi2kD1kpM"/>
    <hyperlink ref="F118" r:id="rId2" display="https://files.afu.se/Downloads/Transcripts/0%20-%20Government/USA%20-%20NASA%20Kennedy/"/>
    <hyperlink ref="C119" r:id="rId119" display="https://youtu.be/bsaTirpn-uQ"/>
    <hyperlink ref="F119" r:id="rId2" display="https://files.afu.se/Downloads/Transcripts/0%20-%20Government/USA%20-%20NASA%20Kennedy/"/>
    <hyperlink ref="C120" r:id="rId120" display="https://youtu.be/kDHB555q41E"/>
    <hyperlink ref="F120" r:id="rId2" display="https://files.afu.se/Downloads/Transcripts/0%20-%20Government/USA%20-%20NASA%20Kennedy/"/>
    <hyperlink ref="C121" r:id="rId121" display="https://youtu.be/-aD3YynySkg"/>
    <hyperlink ref="F121" r:id="rId2" display="https://files.afu.se/Downloads/Transcripts/0%20-%20Government/USA%20-%20NASA%20Kennedy/"/>
    <hyperlink ref="C122" r:id="rId122" display="https://youtu.be/fmWJN1uEVLM"/>
    <hyperlink ref="F122" r:id="rId2" display="https://files.afu.se/Downloads/Transcripts/0%20-%20Government/USA%20-%20NASA%20Kennedy/"/>
    <hyperlink ref="C123" r:id="rId123" display="https://youtu.be/c6HCt04Stk8"/>
    <hyperlink ref="F123" r:id="rId2" display="https://files.afu.se/Downloads/Transcripts/0%20-%20Government/USA%20-%20NASA%20Kennedy/"/>
    <hyperlink ref="C124" r:id="rId124" display="https://youtu.be/wZTfsY3XHDQ"/>
    <hyperlink ref="F124" r:id="rId2" display="https://files.afu.se/Downloads/Transcripts/0%20-%20Government/USA%20-%20NASA%20Kennedy/"/>
    <hyperlink ref="C125" r:id="rId125" display="https://youtu.be/iOu065xkLC4"/>
    <hyperlink ref="F125" r:id="rId2" display="https://files.afu.se/Downloads/Transcripts/0%20-%20Government/USA%20-%20NASA%20Kennedy/"/>
    <hyperlink ref="C126" r:id="rId126" display="https://youtu.be/yczFDtz5xNQ"/>
    <hyperlink ref="F126" r:id="rId2" display="https://files.afu.se/Downloads/Transcripts/0%20-%20Government/USA%20-%20NASA%20Kennedy/"/>
    <hyperlink ref="C127" r:id="rId127" display="https://youtu.be/wkmM6LkZCAc"/>
    <hyperlink ref="F127" r:id="rId2" display="https://files.afu.se/Downloads/Transcripts/0%20-%20Government/USA%20-%20NASA%20Kennedy/"/>
    <hyperlink ref="C128" r:id="rId128" display="https://youtu.be/ios5jqcav6U"/>
    <hyperlink ref="F128" r:id="rId2" display="https://files.afu.se/Downloads/Transcripts/0%20-%20Government/USA%20-%20NASA%20Kennedy/"/>
    <hyperlink ref="C129" r:id="rId129" display="https://youtu.be/4_ObBbyoQuA"/>
    <hyperlink ref="F129" r:id="rId2" display="https://files.afu.se/Downloads/Transcripts/0%20-%20Government/USA%20-%20NASA%20Kennedy/"/>
    <hyperlink ref="C130" r:id="rId130" display="https://youtu.be/Lqs1U7f4ov4"/>
    <hyperlink ref="F130" r:id="rId2" display="https://files.afu.se/Downloads/Transcripts/0%20-%20Government/USA%20-%20NASA%20Kennedy/"/>
    <hyperlink ref="C131" r:id="rId131" display="https://youtu.be/q59T0ilRYfg"/>
    <hyperlink ref="F131" r:id="rId2" display="https://files.afu.se/Downloads/Transcripts/0%20-%20Government/USA%20-%20NASA%20Kennedy/"/>
    <hyperlink ref="C132" r:id="rId132" display="https://youtu.be/cI4ojCAl6AE"/>
    <hyperlink ref="F132" r:id="rId2" display="https://files.afu.se/Downloads/Transcripts/0%20-%20Government/USA%20-%20NASA%20Kennedy/"/>
    <hyperlink ref="C133" r:id="rId133" display="https://youtu.be/sP2dxOXHTiY"/>
    <hyperlink ref="F133" r:id="rId2" display="https://files.afu.se/Downloads/Transcripts/0%20-%20Government/USA%20-%20NASA%20Kennedy/"/>
    <hyperlink ref="C134" r:id="rId134" display="https://youtu.be/hdJ3rr3eKqY"/>
    <hyperlink ref="F134" r:id="rId2" display="https://files.afu.se/Downloads/Transcripts/0%20-%20Government/USA%20-%20NASA%20Kennedy/"/>
    <hyperlink ref="C135" r:id="rId135" display="https://youtu.be/QWVe3q2R2cA"/>
    <hyperlink ref="F135" r:id="rId2" display="https://files.afu.se/Downloads/Transcripts/0%20-%20Government/USA%20-%20NASA%20Kennedy/"/>
    <hyperlink ref="C136" r:id="rId136" display="https://youtu.be/xkatAImzMU4"/>
    <hyperlink ref="F136" r:id="rId2" display="https://files.afu.se/Downloads/Transcripts/0%20-%20Government/USA%20-%20NASA%20Kennedy/"/>
    <hyperlink ref="C137" r:id="rId137" display="https://youtu.be/n4wAG0JH-10"/>
    <hyperlink ref="F137" r:id="rId2" display="https://files.afu.se/Downloads/Transcripts/0%20-%20Government/USA%20-%20NASA%20Kennedy/"/>
    <hyperlink ref="C138" r:id="rId138" display="https://youtu.be/F3_1xgCbORs"/>
    <hyperlink ref="F138" r:id="rId2" display="https://files.afu.se/Downloads/Transcripts/0%20-%20Government/USA%20-%20NASA%20Kennedy/"/>
    <hyperlink ref="C139" r:id="rId139" display="https://youtu.be/V3hoqpLACzk"/>
    <hyperlink ref="F139" r:id="rId2" display="https://files.afu.se/Downloads/Transcripts/0%20-%20Government/USA%20-%20NASA%20Kennedy/"/>
    <hyperlink ref="C140" r:id="rId140" display="https://youtu.be/BTGSb_vhHpA"/>
    <hyperlink ref="F140" r:id="rId2" display="https://files.afu.se/Downloads/Transcripts/0%20-%20Government/USA%20-%20NASA%20Kennedy/"/>
    <hyperlink ref="C141" r:id="rId141" display="https://youtu.be/g7vi6AVVdu8"/>
    <hyperlink ref="F141" r:id="rId2" display="https://files.afu.se/Downloads/Transcripts/0%20-%20Government/USA%20-%20NASA%20Kennedy/"/>
    <hyperlink ref="C142" r:id="rId142" display="https://youtu.be/3wUR9CDiBBc"/>
    <hyperlink ref="F142" r:id="rId2" display="https://files.afu.se/Downloads/Transcripts/0%20-%20Government/USA%20-%20NASA%20Kennedy/"/>
    <hyperlink ref="C143" r:id="rId143" display="https://youtu.be/lbl50JJyf7A"/>
    <hyperlink ref="F143" r:id="rId2" display="https://files.afu.se/Downloads/Transcripts/0%20-%20Government/USA%20-%20NASA%20Kennedy/"/>
    <hyperlink ref="C144" r:id="rId144" display="https://youtu.be/ndb9Y_bREKg"/>
    <hyperlink ref="F144" r:id="rId2" display="https://files.afu.se/Downloads/Transcripts/0%20-%20Government/USA%20-%20NASA%20Kennedy/"/>
    <hyperlink ref="C145" r:id="rId145" display="https://youtu.be/2y2gW-_curw"/>
    <hyperlink ref="F145" r:id="rId2" display="https://files.afu.se/Downloads/Transcripts/0%20-%20Government/USA%20-%20NASA%20Kennedy/"/>
    <hyperlink ref="C146" r:id="rId146" display="https://youtu.be/TJbsoIKwkTg"/>
    <hyperlink ref="F146" r:id="rId2" display="https://files.afu.se/Downloads/Transcripts/0%20-%20Government/USA%20-%20NASA%20Kennedy/"/>
    <hyperlink ref="C147" r:id="rId147" display="https://youtu.be/-sjn5jDpDjg"/>
    <hyperlink ref="F147" r:id="rId2" display="https://files.afu.se/Downloads/Transcripts/0%20-%20Government/USA%20-%20NASA%20Kennedy/"/>
    <hyperlink ref="C148" r:id="rId148" display="https://youtu.be/5n8AY-k-Su4"/>
    <hyperlink ref="F148" r:id="rId2" display="https://files.afu.se/Downloads/Transcripts/0%20-%20Government/USA%20-%20NASA%20Kennedy/"/>
    <hyperlink ref="C149" r:id="rId149" display="https://youtu.be/pT7HBU8_G0I"/>
    <hyperlink ref="F149" r:id="rId2" display="https://files.afu.se/Downloads/Transcripts/0%20-%20Government/USA%20-%20NASA%20Kennedy/"/>
    <hyperlink ref="C150" r:id="rId150" display="https://youtu.be/OwdbAzEeUDY"/>
    <hyperlink ref="F150" r:id="rId2" display="https://files.afu.se/Downloads/Transcripts/0%20-%20Government/USA%20-%20NASA%20Kennedy/"/>
    <hyperlink ref="C151" r:id="rId151" display="https://youtu.be/YijM6IkuasE"/>
    <hyperlink ref="F151" r:id="rId2" display="https://files.afu.se/Downloads/Transcripts/0%20-%20Government/USA%20-%20NASA%20Kennedy/"/>
    <hyperlink ref="C152" r:id="rId152" display="https://youtu.be/eDnZT06Sqfs"/>
    <hyperlink ref="F152" r:id="rId2" display="https://files.afu.se/Downloads/Transcripts/0%20-%20Government/USA%20-%20NASA%20Kennedy/"/>
    <hyperlink ref="C153" r:id="rId153" display="https://youtu.be/deKkd6EKolo"/>
    <hyperlink ref="F153" r:id="rId2" display="https://files.afu.se/Downloads/Transcripts/0%20-%20Government/USA%20-%20NASA%20Kennedy/"/>
    <hyperlink ref="C154" r:id="rId154" display="https://youtu.be/ghjGp-_-tQo"/>
    <hyperlink ref="F154" r:id="rId2" display="https://files.afu.se/Downloads/Transcripts/0%20-%20Government/USA%20-%20NASA%20Kennedy/"/>
    <hyperlink ref="C155" r:id="rId155" display="https://youtu.be/v1udH-w7TRo"/>
    <hyperlink ref="F155" r:id="rId2" display="https://files.afu.se/Downloads/Transcripts/0%20-%20Government/USA%20-%20NASA%20Kennedy/"/>
    <hyperlink ref="C156" r:id="rId156" display="https://youtu.be/E8Z7oOKW-68"/>
    <hyperlink ref="F156" r:id="rId2" display="https://files.afu.se/Downloads/Transcripts/0%20-%20Government/USA%20-%20NASA%20Kennedy/"/>
    <hyperlink ref="C157" r:id="rId157" display="https://youtu.be/VfE5I8BLZdk"/>
    <hyperlink ref="F157" r:id="rId2" display="https://files.afu.se/Downloads/Transcripts/0%20-%20Government/USA%20-%20NASA%20Kennedy/"/>
    <hyperlink ref="C158" r:id="rId158" display="https://youtu.be/gWA1hozu_Nk"/>
    <hyperlink ref="F158" r:id="rId2" display="https://files.afu.se/Downloads/Transcripts/0%20-%20Government/USA%20-%20NASA%20Kennedy/"/>
    <hyperlink ref="C159" r:id="rId159" display="https://youtu.be/iqapIyJBiWo"/>
    <hyperlink ref="F159" r:id="rId2" display="https://files.afu.se/Downloads/Transcripts/0%20-%20Government/USA%20-%20NASA%20Kennedy/"/>
    <hyperlink ref="C160" r:id="rId160" display="https://youtu.be/mdPbpfiODBk"/>
    <hyperlink ref="F160" r:id="rId2" display="https://files.afu.se/Downloads/Transcripts/0%20-%20Government/USA%20-%20NASA%20Kennedy/"/>
    <hyperlink ref="C161" r:id="rId161" display="https://youtu.be/fXh-tmA9VpA"/>
    <hyperlink ref="F161" r:id="rId2" display="https://files.afu.se/Downloads/Transcripts/0%20-%20Government/USA%20-%20NASA%20Kennedy/"/>
    <hyperlink ref="C162" r:id="rId162" display="https://youtu.be/KRFXcMGVSwY"/>
    <hyperlink ref="F162" r:id="rId2" display="https://files.afu.se/Downloads/Transcripts/0%20-%20Government/USA%20-%20NASA%20Kennedy/"/>
    <hyperlink ref="C163" r:id="rId163" display="https://youtu.be/V4vy_ntjVng"/>
    <hyperlink ref="F163" r:id="rId2" display="https://files.afu.se/Downloads/Transcripts/0%20-%20Government/USA%20-%20NASA%20Kennedy/"/>
    <hyperlink ref="C164" r:id="rId164" display="https://youtu.be/ZV4J94gD_Qw"/>
    <hyperlink ref="F164" r:id="rId2" display="https://files.afu.se/Downloads/Transcripts/0%20-%20Government/USA%20-%20NASA%20Kennedy/"/>
    <hyperlink ref="C165" r:id="rId165" display="https://youtu.be/TrEJdl8kln4"/>
    <hyperlink ref="F165" r:id="rId2" display="https://files.afu.se/Downloads/Transcripts/0%20-%20Government/USA%20-%20NASA%20Kennedy/"/>
    <hyperlink ref="C166" r:id="rId166" display="https://youtu.be/v7k8ISJAUU0"/>
    <hyperlink ref="F166" r:id="rId2" display="https://files.afu.se/Downloads/Transcripts/0%20-%20Government/USA%20-%20NASA%20Kennedy/"/>
    <hyperlink ref="C167" r:id="rId167" display="https://youtu.be/gCGW4239TpI"/>
    <hyperlink ref="F167" r:id="rId2" display="https://files.afu.se/Downloads/Transcripts/0%20-%20Government/USA%20-%20NASA%20Kennedy/"/>
    <hyperlink ref="C168" r:id="rId168" display="https://youtu.be/QJilQsllqE0"/>
    <hyperlink ref="F168" r:id="rId2" display="https://files.afu.se/Downloads/Transcripts/0%20-%20Government/USA%20-%20NASA%20Kennedy/"/>
    <hyperlink ref="C169" r:id="rId169" display="https://youtu.be/-OR336xQldY"/>
    <hyperlink ref="F169" r:id="rId2" display="https://files.afu.se/Downloads/Transcripts/0%20-%20Government/USA%20-%20NASA%20Kennedy/"/>
    <hyperlink ref="C170" r:id="rId170" display="https://youtu.be/4Bzh3amyCvk"/>
    <hyperlink ref="F170" r:id="rId2" display="https://files.afu.se/Downloads/Transcripts/0%20-%20Government/USA%20-%20NASA%20Kennedy/"/>
    <hyperlink ref="C171" r:id="rId171" display="https://youtu.be/pmmilGIONaA"/>
    <hyperlink ref="F171" r:id="rId2" display="https://files.afu.se/Downloads/Transcripts/0%20-%20Government/USA%20-%20NASA%20Kennedy/"/>
    <hyperlink ref="C172" r:id="rId172" display="https://youtu.be/DJz-0Pq5_q0"/>
    <hyperlink ref="F172" r:id="rId2" display="https://files.afu.se/Downloads/Transcripts/0%20-%20Government/USA%20-%20NASA%20Kennedy/"/>
    <hyperlink ref="C173" r:id="rId173" display="https://youtu.be/8NwEn0vwk2s"/>
    <hyperlink ref="F173" r:id="rId2" display="https://files.afu.se/Downloads/Transcripts/0%20-%20Government/USA%20-%20NASA%20Kennedy/"/>
    <hyperlink ref="C174" r:id="rId174" display="https://youtu.be/E2Z2P7do7rQ"/>
    <hyperlink ref="F174" r:id="rId2" display="https://files.afu.se/Downloads/Transcripts/0%20-%20Government/USA%20-%20NASA%20Kennedy/"/>
    <hyperlink ref="C175" r:id="rId175" display="https://youtu.be/jusxojMGlJg"/>
    <hyperlink ref="F175" r:id="rId2" display="https://files.afu.se/Downloads/Transcripts/0%20-%20Government/USA%20-%20NASA%20Kennedy/"/>
    <hyperlink ref="C176" r:id="rId176" display="https://youtu.be/1CztM1kOdmM"/>
    <hyperlink ref="F176" r:id="rId2" display="https://files.afu.se/Downloads/Transcripts/0%20-%20Government/USA%20-%20NASA%20Kennedy/"/>
    <hyperlink ref="C177" r:id="rId177" display="https://youtu.be/9W9bnvXhe_8"/>
    <hyperlink ref="F177" r:id="rId2" display="https://files.afu.se/Downloads/Transcripts/0%20-%20Government/USA%20-%20NASA%20Kennedy/"/>
    <hyperlink ref="C178" r:id="rId178" display="https://youtu.be/cGMJouzeZ8I"/>
    <hyperlink ref="F178" r:id="rId2" display="https://files.afu.se/Downloads/Transcripts/0%20-%20Government/USA%20-%20NASA%20Kennedy/"/>
    <hyperlink ref="C179" r:id="rId179" display="https://youtu.be/wRZPX8fBZMg"/>
    <hyperlink ref="F179" r:id="rId2" display="https://files.afu.se/Downloads/Transcripts/0%20-%20Government/USA%20-%20NASA%20Kennedy/"/>
    <hyperlink ref="C180" r:id="rId180" display="https://youtu.be/8gSb45BJ_E4"/>
    <hyperlink ref="F180" r:id="rId2" display="https://files.afu.se/Downloads/Transcripts/0%20-%20Government/USA%20-%20NASA%20Kennedy/"/>
    <hyperlink ref="C181" r:id="rId181" display="https://youtu.be/4BYIeeLJNEI"/>
    <hyperlink ref="F181" r:id="rId2" display="https://files.afu.se/Downloads/Transcripts/0%20-%20Government/USA%20-%20NASA%20Kennedy/"/>
    <hyperlink ref="C182" r:id="rId182" display="https://youtu.be/OBszj6tZ6G4"/>
    <hyperlink ref="F182" r:id="rId2" display="https://files.afu.se/Downloads/Transcripts/0%20-%20Government/USA%20-%20NASA%20Kennedy/"/>
    <hyperlink ref="C183" r:id="rId183" display="https://youtu.be/wA1kZaVyt-A"/>
    <hyperlink ref="F183" r:id="rId2" display="https://files.afu.se/Downloads/Transcripts/0%20-%20Government/USA%20-%20NASA%20Kennedy/"/>
    <hyperlink ref="C184" r:id="rId184" display="https://youtu.be/PwhOEzVzDcQ"/>
    <hyperlink ref="F184" r:id="rId2" display="https://files.afu.se/Downloads/Transcripts/0%20-%20Government/USA%20-%20NASA%20Kennedy/"/>
    <hyperlink ref="C185" r:id="rId185" display="https://youtu.be/3Zps8MPTfOY"/>
    <hyperlink ref="F185" r:id="rId2" display="https://files.afu.se/Downloads/Transcripts/0%20-%20Government/USA%20-%20NASA%20Kennedy/"/>
    <hyperlink ref="C186" r:id="rId186" display="https://youtu.be/7m8E3mI8KQ8"/>
    <hyperlink ref="F186" r:id="rId2" display="https://files.afu.se/Downloads/Transcripts/0%20-%20Government/USA%20-%20NASA%20Kennedy/"/>
    <hyperlink ref="C187" r:id="rId187" display="https://youtu.be/tpBYwlwiEIs"/>
    <hyperlink ref="F187" r:id="rId2" display="https://files.afu.se/Downloads/Transcripts/0%20-%20Government/USA%20-%20NASA%20Kennedy/"/>
    <hyperlink ref="C188" r:id="rId188" display="https://youtu.be/HJkfrYYh5Yc"/>
    <hyperlink ref="F188" r:id="rId2" display="https://files.afu.se/Downloads/Transcripts/0%20-%20Government/USA%20-%20NASA%20Kennedy/"/>
    <hyperlink ref="C189" r:id="rId189" display="https://youtu.be/oW1E_mG0SFg"/>
    <hyperlink ref="F189" r:id="rId2" display="https://files.afu.se/Downloads/Transcripts/0%20-%20Government/USA%20-%20NASA%20Kennedy/"/>
    <hyperlink ref="C190" r:id="rId190" display="https://youtu.be/4qhiGm2Df3A"/>
    <hyperlink ref="F190" r:id="rId2" display="https://files.afu.se/Downloads/Transcripts/0%20-%20Government/USA%20-%20NASA%20Kennedy/"/>
    <hyperlink ref="C191" r:id="rId191" display="https://youtu.be/stxg0mGXlQ8"/>
    <hyperlink ref="F191" r:id="rId2" display="https://files.afu.se/Downloads/Transcripts/0%20-%20Government/USA%20-%20NASA%20Kennedy/"/>
    <hyperlink ref="C192" r:id="rId192" display="https://youtu.be/IyWE_CIbqRU"/>
    <hyperlink ref="F192" r:id="rId2" display="https://files.afu.se/Downloads/Transcripts/0%20-%20Government/USA%20-%20NASA%20Kennedy/"/>
    <hyperlink ref="C193" r:id="rId193" display="https://youtu.be/WL7mhmjOeEg"/>
    <hyperlink ref="F193" r:id="rId2" display="https://files.afu.se/Downloads/Transcripts/0%20-%20Government/USA%20-%20NASA%20Kennedy/"/>
    <hyperlink ref="C194" r:id="rId194" display="https://youtu.be/qtI3Sn5bZTw"/>
    <hyperlink ref="F194" r:id="rId2" display="https://files.afu.se/Downloads/Transcripts/0%20-%20Government/USA%20-%20NASA%20Kennedy/"/>
    <hyperlink ref="C195" r:id="rId195" display="https://youtu.be/ffUx_QK8Njk"/>
    <hyperlink ref="F195" r:id="rId2" display="https://files.afu.se/Downloads/Transcripts/0%20-%20Government/USA%20-%20NASA%20Kennedy/"/>
    <hyperlink ref="C196" r:id="rId196" display="https://youtu.be/UbndtdZT_4U"/>
    <hyperlink ref="F196" r:id="rId2" display="https://files.afu.se/Downloads/Transcripts/0%20-%20Government/USA%20-%20NASA%20Kennedy/"/>
    <hyperlink ref="C197" r:id="rId197" display="https://youtu.be/MQOrzEJnWo0"/>
    <hyperlink ref="F197" r:id="rId2" display="https://files.afu.se/Downloads/Transcripts/0%20-%20Government/USA%20-%20NASA%20Kennedy/"/>
    <hyperlink ref="C198" r:id="rId198" display="https://youtu.be/Yd8j6nRqvDk"/>
    <hyperlink ref="F198" r:id="rId2" display="https://files.afu.se/Downloads/Transcripts/0%20-%20Government/USA%20-%20NASA%20Kennedy/"/>
    <hyperlink ref="C199" r:id="rId199" display="https://youtu.be/8GS00U76ADo"/>
    <hyperlink ref="F199" r:id="rId2" display="https://files.afu.se/Downloads/Transcripts/0%20-%20Government/USA%20-%20NASA%20Kennedy/"/>
    <hyperlink ref="C200" r:id="rId200" display="https://youtu.be/k8MxCQJ9dy0"/>
    <hyperlink ref="F200" r:id="rId2" display="https://files.afu.se/Downloads/Transcripts/0%20-%20Government/USA%20-%20NASA%20Kennedy/"/>
    <hyperlink ref="C201" r:id="rId201" display="https://youtu.be/EGB7vR4AXSE"/>
    <hyperlink ref="F201" r:id="rId2" display="https://files.afu.se/Downloads/Transcripts/0%20-%20Government/USA%20-%20NASA%20Kennedy/"/>
    <hyperlink ref="C202" r:id="rId202" display="https://youtu.be/KlQxwtDNJoQ"/>
    <hyperlink ref="F202" r:id="rId2" display="https://files.afu.se/Downloads/Transcripts/0%20-%20Government/USA%20-%20NASA%20Kennedy/"/>
    <hyperlink ref="C203" r:id="rId203" display="https://youtu.be/gVAtIW7KMzQ"/>
    <hyperlink ref="F203" r:id="rId2" display="https://files.afu.se/Downloads/Transcripts/0%20-%20Government/USA%20-%20NASA%20Kennedy/"/>
    <hyperlink ref="C204" r:id="rId204" display="https://youtu.be/fG86A99PvvU"/>
    <hyperlink ref="F204" r:id="rId2" display="https://files.afu.se/Downloads/Transcripts/0%20-%20Government/USA%20-%20NASA%20Kennedy/"/>
    <hyperlink ref="C205" r:id="rId205" display="https://youtu.be/1U6xbpYRia8"/>
    <hyperlink ref="F205" r:id="rId2" display="https://files.afu.se/Downloads/Transcripts/0%20-%20Government/USA%20-%20NASA%20Kennedy/"/>
    <hyperlink ref="C206" r:id="rId206" display="https://youtu.be/EZrliokfWVk"/>
    <hyperlink ref="F206" r:id="rId2" display="https://files.afu.se/Downloads/Transcripts/0%20-%20Government/USA%20-%20NASA%20Kennedy/"/>
    <hyperlink ref="C207" r:id="rId207" display="https://youtu.be/8mqwMq90CgU"/>
    <hyperlink ref="F207" r:id="rId2" display="https://files.afu.se/Downloads/Transcripts/0%20-%20Government/USA%20-%20NASA%20Kennedy/"/>
    <hyperlink ref="C208" r:id="rId208" display="https://youtu.be/enxy1mpwzeo"/>
    <hyperlink ref="F208" r:id="rId2" display="https://files.afu.se/Downloads/Transcripts/0%20-%20Government/USA%20-%20NASA%20Kennedy/"/>
    <hyperlink ref="C209" r:id="rId209" display="https://youtu.be/ZdobdzBO-3k"/>
    <hyperlink ref="F209" r:id="rId2" display="https://files.afu.se/Downloads/Transcripts/0%20-%20Government/USA%20-%20NASA%20Kennedy/"/>
    <hyperlink ref="C210" r:id="rId210" display="https://youtu.be/2NzzfQ0ehcU"/>
    <hyperlink ref="F210" r:id="rId2" display="https://files.afu.se/Downloads/Transcripts/0%20-%20Government/USA%20-%20NASA%20Kennedy/"/>
    <hyperlink ref="C211" r:id="rId211" display="https://youtu.be/EK-edpLvDwo"/>
    <hyperlink ref="F211" r:id="rId2" display="https://files.afu.se/Downloads/Transcripts/0%20-%20Government/USA%20-%20NASA%20Kennedy/"/>
    <hyperlink ref="C212" r:id="rId212" display="https://youtu.be/Em01wT-X7QQ"/>
    <hyperlink ref="F212" r:id="rId2" display="https://files.afu.se/Downloads/Transcripts/0%20-%20Government/USA%20-%20NASA%20Kennedy/"/>
    <hyperlink ref="C213" r:id="rId213" display="https://youtu.be/4RHwkZLOmMQ"/>
    <hyperlink ref="F213" r:id="rId2" display="https://files.afu.se/Downloads/Transcripts/0%20-%20Government/USA%20-%20NASA%20Kennedy/"/>
    <hyperlink ref="C214" r:id="rId214" display="https://youtu.be/wbcWwbIlaO8"/>
    <hyperlink ref="F214" r:id="rId2" display="https://files.afu.se/Downloads/Transcripts/0%20-%20Government/USA%20-%20NASA%20Kennedy/"/>
    <hyperlink ref="C215" r:id="rId215" display="https://youtu.be/WTEOcKhwAi4"/>
    <hyperlink ref="F215" r:id="rId2" display="https://files.afu.se/Downloads/Transcripts/0%20-%20Government/USA%20-%20NASA%20Kennedy/"/>
    <hyperlink ref="C216" r:id="rId216" display="https://youtu.be/9hw6SBiJ2Ns"/>
    <hyperlink ref="F216" r:id="rId2" display="https://files.afu.se/Downloads/Transcripts/0%20-%20Government/USA%20-%20NASA%20Kennedy/"/>
    <hyperlink ref="C217" r:id="rId217" display="https://youtu.be/8B404g4vgEE"/>
    <hyperlink ref="F217" r:id="rId2" display="https://files.afu.se/Downloads/Transcripts/0%20-%20Government/USA%20-%20NASA%20Kennedy/"/>
    <hyperlink ref="C218" r:id="rId218" display="https://youtu.be/15vPL00MLqs"/>
    <hyperlink ref="F218" r:id="rId2" display="https://files.afu.se/Downloads/Transcripts/0%20-%20Government/USA%20-%20NASA%20Kennedy/"/>
    <hyperlink ref="C219" r:id="rId219" display="https://youtu.be/kQhpiUcGkkY"/>
    <hyperlink ref="F219" r:id="rId2" display="https://files.afu.se/Downloads/Transcripts/0%20-%20Government/USA%20-%20NASA%20Kennedy/"/>
    <hyperlink ref="C220" r:id="rId220" display="https://youtu.be/Z0R9RgAYItE"/>
    <hyperlink ref="F220" r:id="rId2" display="https://files.afu.se/Downloads/Transcripts/0%20-%20Government/USA%20-%20NASA%20Kennedy/"/>
    <hyperlink ref="C221" r:id="rId221" display="https://youtu.be/B7r1uHvcamY"/>
    <hyperlink ref="F221" r:id="rId2" display="https://files.afu.se/Downloads/Transcripts/0%20-%20Government/USA%20-%20NASA%20Kennedy/"/>
    <hyperlink ref="C222" r:id="rId222" display="https://youtu.be/zvFW9i93B2U"/>
    <hyperlink ref="F222" r:id="rId2" display="https://files.afu.se/Downloads/Transcripts/0%20-%20Government/USA%20-%20NASA%20Kennedy/"/>
    <hyperlink ref="C223" r:id="rId223" display="https://youtu.be/2uRBfj75IQY"/>
    <hyperlink ref="F223" r:id="rId2" display="https://files.afu.se/Downloads/Transcripts/0%20-%20Government/USA%20-%20NASA%20Kennedy/"/>
    <hyperlink ref="C224" r:id="rId224" display="https://youtu.be/xSA3GQOOgAQ"/>
    <hyperlink ref="F224" r:id="rId2" display="https://files.afu.se/Downloads/Transcripts/0%20-%20Government/USA%20-%20NASA%20Kennedy/"/>
    <hyperlink ref="C225" r:id="rId225" display="https://youtu.be/aePzJ8XpwZo"/>
    <hyperlink ref="F225" r:id="rId2" display="https://files.afu.se/Downloads/Transcripts/0%20-%20Government/USA%20-%20NASA%20Kennedy/"/>
    <hyperlink ref="C226" r:id="rId226" display="https://youtu.be/TVhvvhTCoDc"/>
    <hyperlink ref="F226" r:id="rId2" display="https://files.afu.se/Downloads/Transcripts/0%20-%20Government/USA%20-%20NASA%20Kennedy/"/>
    <hyperlink ref="C227" r:id="rId227" display="https://youtu.be/33E3zecrWMA"/>
    <hyperlink ref="F227" r:id="rId2" display="https://files.afu.se/Downloads/Transcripts/0%20-%20Government/USA%20-%20NASA%20Kennedy/"/>
    <hyperlink ref="C228" r:id="rId228" display="https://youtu.be/pjGB2zGjJpY"/>
    <hyperlink ref="F228" r:id="rId2" display="https://files.afu.se/Downloads/Transcripts/0%20-%20Government/USA%20-%20NASA%20Kennedy/"/>
    <hyperlink ref="C229" r:id="rId229" display="https://youtu.be/B-tOYeKgKTM"/>
    <hyperlink ref="F229" r:id="rId2" display="https://files.afu.se/Downloads/Transcripts/0%20-%20Government/USA%20-%20NASA%20Kennedy/"/>
    <hyperlink ref="C230" r:id="rId230" display="https://youtu.be/v9aIFHjQH8Q"/>
    <hyperlink ref="F230" r:id="rId2" display="https://files.afu.se/Downloads/Transcripts/0%20-%20Government/USA%20-%20NASA%20Kennedy/"/>
    <hyperlink ref="C231" r:id="rId231" display="https://youtu.be/kZzLaWHtymI"/>
    <hyperlink ref="F231" r:id="rId2" display="https://files.afu.se/Downloads/Transcripts/0%20-%20Government/USA%20-%20NASA%20Kennedy/"/>
    <hyperlink ref="C232" r:id="rId232" display="https://youtu.be/AopLE4SrtCI"/>
    <hyperlink ref="F232" r:id="rId2" display="https://files.afu.se/Downloads/Transcripts/0%20-%20Government/USA%20-%20NASA%20Kennedy/"/>
    <hyperlink ref="C233" r:id="rId233" display="https://youtu.be/dIVMY5fPnSI"/>
    <hyperlink ref="F233" r:id="rId2" display="https://files.afu.se/Downloads/Transcripts/0%20-%20Government/USA%20-%20NASA%20Kennedy/"/>
    <hyperlink ref="C234" r:id="rId234" display="https://youtu.be/p5jjf-kHcT0"/>
    <hyperlink ref="F234" r:id="rId2" display="https://files.afu.se/Downloads/Transcripts/0%20-%20Government/USA%20-%20NASA%20Kennedy/"/>
    <hyperlink ref="C235" r:id="rId235" display="https://youtu.be/ODB-oDlf25M"/>
    <hyperlink ref="F235" r:id="rId2" display="https://files.afu.se/Downloads/Transcripts/0%20-%20Government/USA%20-%20NASA%20Kennedy/"/>
    <hyperlink ref="C236" r:id="rId236" display="https://youtu.be/tBe2A63ipAM"/>
    <hyperlink ref="F236" r:id="rId2" display="https://files.afu.se/Downloads/Transcripts/0%20-%20Government/USA%20-%20NASA%20Kennedy/"/>
    <hyperlink ref="C237" r:id="rId237" display="https://youtu.be/7r-6M2HVkgE"/>
    <hyperlink ref="F237" r:id="rId2" display="https://files.afu.se/Downloads/Transcripts/0%20-%20Government/USA%20-%20NASA%20Kennedy/"/>
    <hyperlink ref="C238" r:id="rId238" display="https://youtu.be/Pt-hteeok6g"/>
    <hyperlink ref="F238" r:id="rId2" display="https://files.afu.se/Downloads/Transcripts/0%20-%20Government/USA%20-%20NASA%20Kennedy/"/>
    <hyperlink ref="C239" r:id="rId239" display="https://youtu.be/wCq9bj0HUic"/>
    <hyperlink ref="F239" r:id="rId2" display="https://files.afu.se/Downloads/Transcripts/0%20-%20Government/USA%20-%20NASA%20Kennedy/"/>
    <hyperlink ref="C240" r:id="rId240" display="https://youtu.be/VmE_8F-g1wc"/>
    <hyperlink ref="F240" r:id="rId2" display="https://files.afu.se/Downloads/Transcripts/0%20-%20Government/USA%20-%20NASA%20Kennedy/"/>
    <hyperlink ref="C241" r:id="rId241" display="https://youtu.be/jnKRaTpUAdA"/>
    <hyperlink ref="F241" r:id="rId2" display="https://files.afu.se/Downloads/Transcripts/0%20-%20Government/USA%20-%20NASA%20Kennedy/"/>
    <hyperlink ref="C242" r:id="rId242" display="https://youtu.be/7epFp7QcZaI"/>
    <hyperlink ref="F242" r:id="rId2" display="https://files.afu.se/Downloads/Transcripts/0%20-%20Government/USA%20-%20NASA%20Kennedy/"/>
    <hyperlink ref="C243" r:id="rId243" display="https://youtu.be/WZl30DgDohg"/>
    <hyperlink ref="F243" r:id="rId2" display="https://files.afu.se/Downloads/Transcripts/0%20-%20Government/USA%20-%20NASA%20Kennedy/"/>
    <hyperlink ref="C244" r:id="rId244" display="https://youtu.be/KkD3z1hqgQc"/>
    <hyperlink ref="F244" r:id="rId2" display="https://files.afu.se/Downloads/Transcripts/0%20-%20Government/USA%20-%20NASA%20Kennedy/"/>
    <hyperlink ref="C245" r:id="rId245" display="https://youtu.be/9PZd1jFCVSQ"/>
    <hyperlink ref="F245" r:id="rId2" display="https://files.afu.se/Downloads/Transcripts/0%20-%20Government/USA%20-%20NASA%20Kennedy/"/>
    <hyperlink ref="C246" r:id="rId246" display="https://youtu.be/zwpD91NTFcA"/>
    <hyperlink ref="F246" r:id="rId2" display="https://files.afu.se/Downloads/Transcripts/0%20-%20Government/USA%20-%20NASA%20Kennedy/"/>
    <hyperlink ref="C247" r:id="rId247" display="https://youtu.be/jO8kiJREX9Y"/>
    <hyperlink ref="F247" r:id="rId2" display="https://files.afu.se/Downloads/Transcripts/0%20-%20Government/USA%20-%20NASA%20Kennedy/"/>
    <hyperlink ref="C248" r:id="rId248" display="https://youtu.be/pJjqKJyL4Ts"/>
    <hyperlink ref="F248" r:id="rId2" display="https://files.afu.se/Downloads/Transcripts/0%20-%20Government/USA%20-%20NASA%20Kennedy/"/>
    <hyperlink ref="C249" r:id="rId249" display="https://youtu.be/69rn7zBddPw"/>
    <hyperlink ref="F249" r:id="rId2" display="https://files.afu.se/Downloads/Transcripts/0%20-%20Government/USA%20-%20NASA%20Kennedy/"/>
    <hyperlink ref="C250" r:id="rId250" display="https://youtu.be/KKuYKc4x5xc"/>
    <hyperlink ref="F250" r:id="rId2" display="https://files.afu.se/Downloads/Transcripts/0%20-%20Government/USA%20-%20NASA%20Kennedy/"/>
    <hyperlink ref="C251" r:id="rId251" display="https://youtu.be/6EW1qev8FT4"/>
    <hyperlink ref="F251" r:id="rId2" display="https://files.afu.se/Downloads/Transcripts/0%20-%20Government/USA%20-%20NASA%20Kennedy/"/>
    <hyperlink ref="C252" r:id="rId252" display="https://youtu.be/2zORTRedW_U"/>
    <hyperlink ref="F252" r:id="rId2" display="https://files.afu.se/Downloads/Transcripts/0%20-%20Government/USA%20-%20NASA%20Kennedy/"/>
    <hyperlink ref="C253" r:id="rId253" display="https://youtu.be/qV6ARkDnUsQ"/>
    <hyperlink ref="F253" r:id="rId2" display="https://files.afu.se/Downloads/Transcripts/0%20-%20Government/USA%20-%20NASA%20Kennedy/"/>
    <hyperlink ref="C254" r:id="rId254" display="https://youtu.be/Wn54fvNiSSM"/>
    <hyperlink ref="F254" r:id="rId2" display="https://files.afu.se/Downloads/Transcripts/0%20-%20Government/USA%20-%20NASA%20Kennedy/"/>
    <hyperlink ref="C255" r:id="rId255" display="https://youtu.be/yl06ht6luXg"/>
    <hyperlink ref="F255" r:id="rId2" display="https://files.afu.se/Downloads/Transcripts/0%20-%20Government/USA%20-%20NASA%20Kennedy/"/>
    <hyperlink ref="C256" r:id="rId256" display="https://youtu.be/f60mhcptQr0"/>
    <hyperlink ref="F256" r:id="rId2" display="https://files.afu.se/Downloads/Transcripts/0%20-%20Government/USA%20-%20NASA%20Kennedy/"/>
    <hyperlink ref="C257" r:id="rId257" display="https://youtu.be/v7oYIecYAeo"/>
    <hyperlink ref="F257" r:id="rId2" display="https://files.afu.se/Downloads/Transcripts/0%20-%20Government/USA%20-%20NASA%20Kennedy/"/>
    <hyperlink ref="C258" r:id="rId258" display="https://youtu.be/lMHqnOVH55M"/>
    <hyperlink ref="F258" r:id="rId2" display="https://files.afu.se/Downloads/Transcripts/0%20-%20Government/USA%20-%20NASA%20Kennedy/"/>
    <hyperlink ref="C259" r:id="rId259" display="https://youtu.be/qUHlj1Dkw68"/>
    <hyperlink ref="F259" r:id="rId2" display="https://files.afu.se/Downloads/Transcripts/0%20-%20Government/USA%20-%20NASA%20Kennedy/"/>
    <hyperlink ref="C260" r:id="rId260" display="https://youtu.be/LO2Xd-kZOyg"/>
    <hyperlink ref="F260" r:id="rId2" display="https://files.afu.se/Downloads/Transcripts/0%20-%20Government/USA%20-%20NASA%20Kennedy/"/>
    <hyperlink ref="C261" r:id="rId261" display="https://youtu.be/pHq3zbzpl2w"/>
    <hyperlink ref="F261" r:id="rId2" display="https://files.afu.se/Downloads/Transcripts/0%20-%20Government/USA%20-%20NASA%20Kennedy/"/>
    <hyperlink ref="C262" r:id="rId262" display="https://youtu.be/I7P2VJj3UqM"/>
    <hyperlink ref="F262" r:id="rId2" display="https://files.afu.se/Downloads/Transcripts/0%20-%20Government/USA%20-%20NASA%20Kennedy/"/>
    <hyperlink ref="C263" r:id="rId263" display="https://youtu.be/xhrJzj0Y7C8"/>
    <hyperlink ref="F263" r:id="rId2" display="https://files.afu.se/Downloads/Transcripts/0%20-%20Government/USA%20-%20NASA%20Kennedy/"/>
    <hyperlink ref="C264" r:id="rId264" display="https://youtu.be/GmhXNvzzJLw"/>
    <hyperlink ref="F264" r:id="rId2" display="https://files.afu.se/Downloads/Transcripts/0%20-%20Government/USA%20-%20NASA%20Kennedy/"/>
    <hyperlink ref="C265" r:id="rId265" display="https://youtu.be/4ZOIYEuf5F4"/>
    <hyperlink ref="F265" r:id="rId2" display="https://files.afu.se/Downloads/Transcripts/0%20-%20Government/USA%20-%20NASA%20Kennedy/"/>
    <hyperlink ref="C266" r:id="rId266" display="https://youtu.be/uBbxyRtiW2s"/>
    <hyperlink ref="F266" r:id="rId2" display="https://files.afu.se/Downloads/Transcripts/0%20-%20Government/USA%20-%20NASA%20Kennedy/"/>
    <hyperlink ref="C267" r:id="rId267" display="https://youtu.be/B0bwKZb6YI0"/>
    <hyperlink ref="F267" r:id="rId2" display="https://files.afu.se/Downloads/Transcripts/0%20-%20Government/USA%20-%20NASA%20Kennedy/"/>
    <hyperlink ref="C268" r:id="rId268" display="https://youtu.be/VLQ2ypFWp2M"/>
    <hyperlink ref="F268" r:id="rId2" display="https://files.afu.se/Downloads/Transcripts/0%20-%20Government/USA%20-%20NASA%20Kennedy/"/>
    <hyperlink ref="C269" r:id="rId269" display="https://youtu.be/_nhemzJVFSw"/>
    <hyperlink ref="F269" r:id="rId2" display="https://files.afu.se/Downloads/Transcripts/0%20-%20Government/USA%20-%20NASA%20Kennedy/"/>
    <hyperlink ref="C270" r:id="rId270" display="https://youtu.be/lV1ShI5eZBI"/>
    <hyperlink ref="F270" r:id="rId2" display="https://files.afu.se/Downloads/Transcripts/0%20-%20Government/USA%20-%20NASA%20Kennedy/"/>
    <hyperlink ref="C271" r:id="rId271" display="https://youtu.be/GDyteaqYCzY"/>
    <hyperlink ref="F271" r:id="rId2" display="https://files.afu.se/Downloads/Transcripts/0%20-%20Government/USA%20-%20NASA%20Kennedy/"/>
    <hyperlink ref="C272" r:id="rId272" display="https://youtu.be/nI1pkHEXj3w"/>
    <hyperlink ref="F272" r:id="rId2" display="https://files.afu.se/Downloads/Transcripts/0%20-%20Government/USA%20-%20NASA%20Kennedy/"/>
    <hyperlink ref="C273" r:id="rId273" display="https://youtu.be/tSu6XI6HGrs"/>
    <hyperlink ref="F273" r:id="rId2" display="https://files.afu.se/Downloads/Transcripts/0%20-%20Government/USA%20-%20NASA%20Kennedy/"/>
    <hyperlink ref="C274" r:id="rId274" display="https://youtu.be/SiMgnT36504"/>
    <hyperlink ref="F274" r:id="rId2" display="https://files.afu.se/Downloads/Transcripts/0%20-%20Government/USA%20-%20NASA%20Kennedy/"/>
    <hyperlink ref="C275" r:id="rId275" display="https://youtu.be/4xQx1aXvK98"/>
    <hyperlink ref="F275" r:id="rId2" display="https://files.afu.se/Downloads/Transcripts/0%20-%20Government/USA%20-%20NASA%20Kennedy/"/>
    <hyperlink ref="C276" r:id="rId276" display="https://youtu.be/kJDwlC2PrAw"/>
    <hyperlink ref="F276" r:id="rId2" display="https://files.afu.se/Downloads/Transcripts/0%20-%20Government/USA%20-%20NASA%20Kennedy/"/>
    <hyperlink ref="C277" r:id="rId277" display="https://youtu.be/EdumTVtWLCI"/>
    <hyperlink ref="F277" r:id="rId2" display="https://files.afu.se/Downloads/Transcripts/0%20-%20Government/USA%20-%20NASA%20Kennedy/"/>
    <hyperlink ref="C278" r:id="rId278" display="https://youtu.be/oeJcFqyDYX0"/>
    <hyperlink ref="F278" r:id="rId2" display="https://files.afu.se/Downloads/Transcripts/0%20-%20Government/USA%20-%20NASA%20Kennedy/"/>
    <hyperlink ref="C279" r:id="rId279" display="https://youtu.be/-vxqjD1e_8s"/>
    <hyperlink ref="F279" r:id="rId2" display="https://files.afu.se/Downloads/Transcripts/0%20-%20Government/USA%20-%20NASA%20Kennedy/"/>
    <hyperlink ref="C280" r:id="rId280" display="https://youtu.be/u9mHc0_M3ug"/>
    <hyperlink ref="F280" r:id="rId2" display="https://files.afu.se/Downloads/Transcripts/0%20-%20Government/USA%20-%20NASA%20Kennedy/"/>
    <hyperlink ref="C281" r:id="rId281" display="https://youtu.be/2jmAbg13xDw"/>
    <hyperlink ref="F281" r:id="rId2" display="https://files.afu.se/Downloads/Transcripts/0%20-%20Government/USA%20-%20NASA%20Kennedy/"/>
    <hyperlink ref="C282" r:id="rId282" display="https://youtu.be/1H6wHAMv1QU"/>
    <hyperlink ref="F282" r:id="rId2" display="https://files.afu.se/Downloads/Transcripts/0%20-%20Government/USA%20-%20NASA%20Kennedy/"/>
    <hyperlink ref="C283" r:id="rId283" display="https://youtu.be/f3LVpey6bOQ"/>
    <hyperlink ref="F283" r:id="rId2" display="https://files.afu.se/Downloads/Transcripts/0%20-%20Government/USA%20-%20NASA%20Kennedy/"/>
    <hyperlink ref="C284" r:id="rId284" display="https://youtu.be/A06wDNxB9QI"/>
    <hyperlink ref="F284" r:id="rId2" display="https://files.afu.se/Downloads/Transcripts/0%20-%20Government/USA%20-%20NASA%20Kennedy/"/>
    <hyperlink ref="C285" r:id="rId285" display="https://youtu.be/IF6kz6YXvE0"/>
    <hyperlink ref="F285" r:id="rId2" display="https://files.afu.se/Downloads/Transcripts/0%20-%20Government/USA%20-%20NASA%20Kennedy/"/>
    <hyperlink ref="C286" r:id="rId286" display="https://youtu.be/lg-KOKplLl4"/>
    <hyperlink ref="F286" r:id="rId2" display="https://files.afu.se/Downloads/Transcripts/0%20-%20Government/USA%20-%20NASA%20Kennedy/"/>
    <hyperlink ref="C287" r:id="rId287" display="https://youtu.be/iqLArDYe7hw"/>
    <hyperlink ref="F287" r:id="rId2" display="https://files.afu.se/Downloads/Transcripts/0%20-%20Government/USA%20-%20NASA%20Kennedy/"/>
    <hyperlink ref="C288" r:id="rId288" display="https://youtu.be/RLGy7CCFnik"/>
    <hyperlink ref="F288" r:id="rId2" display="https://files.afu.se/Downloads/Transcripts/0%20-%20Government/USA%20-%20NASA%20Kennedy/"/>
    <hyperlink ref="C289" r:id="rId289" display="https://youtu.be/kl2tGznF4j4"/>
    <hyperlink ref="F289" r:id="rId2" display="https://files.afu.se/Downloads/Transcripts/0%20-%20Government/USA%20-%20NASA%20Kennedy/"/>
    <hyperlink ref="C290" r:id="rId290" display="https://youtu.be/8CluuelCu3E"/>
    <hyperlink ref="F290" r:id="rId2" display="https://files.afu.se/Downloads/Transcripts/0%20-%20Government/USA%20-%20NASA%20Kennedy/"/>
    <hyperlink ref="C291" r:id="rId291" display="https://youtu.be/2OGxrvxoh8E"/>
    <hyperlink ref="F291" r:id="rId2" display="https://files.afu.se/Downloads/Transcripts/0%20-%20Government/USA%20-%20NASA%20Kennedy/"/>
    <hyperlink ref="C292" r:id="rId292" display="https://youtu.be/ZOUjIL7Seks"/>
    <hyperlink ref="F292" r:id="rId2" display="https://files.afu.se/Downloads/Transcripts/0%20-%20Government/USA%20-%20NASA%20Kennedy/"/>
    <hyperlink ref="C293" r:id="rId293" display="https://youtu.be/QM-AocQlaq8"/>
    <hyperlink ref="F293" r:id="rId2" display="https://files.afu.se/Downloads/Transcripts/0%20-%20Government/USA%20-%20NASA%20Kennedy/"/>
    <hyperlink ref="C294" r:id="rId294" display="https://youtu.be/e4YdMqsr3K0"/>
    <hyperlink ref="F294" r:id="rId2" display="https://files.afu.se/Downloads/Transcripts/0%20-%20Government/USA%20-%20NASA%20Kennedy/"/>
    <hyperlink ref="C295" r:id="rId295" display="https://youtu.be/jArVx75gjos"/>
    <hyperlink ref="F295" r:id="rId2" display="https://files.afu.se/Downloads/Transcripts/0%20-%20Government/USA%20-%20NASA%20Kennedy/"/>
    <hyperlink ref="C296" r:id="rId296" display="https://youtu.be/tgZOWZHF8T8"/>
    <hyperlink ref="F296" r:id="rId2" display="https://files.afu.se/Downloads/Transcripts/0%20-%20Government/USA%20-%20NASA%20Kennedy/"/>
    <hyperlink ref="C297" r:id="rId297" display="https://youtu.be/nJsvGZvf7D0"/>
    <hyperlink ref="F297" r:id="rId2" display="https://files.afu.se/Downloads/Transcripts/0%20-%20Government/USA%20-%20NASA%20Kennedy/"/>
    <hyperlink ref="C298" r:id="rId298" display="https://youtu.be/DRWpwM7yIJk"/>
    <hyperlink ref="F298" r:id="rId2" display="https://files.afu.se/Downloads/Transcripts/0%20-%20Government/USA%20-%20NASA%20Kennedy/"/>
    <hyperlink ref="C299" r:id="rId299" display="https://youtu.be/yKrIo54T1oY"/>
    <hyperlink ref="F299" r:id="rId2" display="https://files.afu.se/Downloads/Transcripts/0%20-%20Government/USA%20-%20NASA%20Kennedy/"/>
    <hyperlink ref="C300" r:id="rId300" display="https://youtu.be/wB1bB3EuJok"/>
    <hyperlink ref="F300" r:id="rId2" display="https://files.afu.se/Downloads/Transcripts/0%20-%20Government/USA%20-%20NASA%20Kennedy/"/>
    <hyperlink ref="C301" r:id="rId301" display="https://youtu.be/oJSGoWPZVO4"/>
    <hyperlink ref="F301" r:id="rId2" display="https://files.afu.se/Downloads/Transcripts/0%20-%20Government/USA%20-%20NASA%20Kennedy/"/>
    <hyperlink ref="C302" r:id="rId302" display="https://youtu.be/GBNYMBsGcsM"/>
    <hyperlink ref="F302" r:id="rId2" display="https://files.afu.se/Downloads/Transcripts/0%20-%20Government/USA%20-%20NASA%20Kennedy/"/>
    <hyperlink ref="C303" r:id="rId303" display="https://youtu.be/us2dgwB_hVI"/>
    <hyperlink ref="F303" r:id="rId2" display="https://files.afu.se/Downloads/Transcripts/0%20-%20Government/USA%20-%20NASA%20Kennedy/"/>
    <hyperlink ref="C304" r:id="rId304" display="https://youtu.be/eRBHqyMZZz0"/>
    <hyperlink ref="F304" r:id="rId2" display="https://files.afu.se/Downloads/Transcripts/0%20-%20Government/USA%20-%20NASA%20Kennedy/"/>
    <hyperlink ref="C305" r:id="rId305" display="https://youtu.be/V-necEn5W_Y"/>
    <hyperlink ref="F305" r:id="rId2" display="https://files.afu.se/Downloads/Transcripts/0%20-%20Government/USA%20-%20NASA%20Kennedy/"/>
    <hyperlink ref="C306" r:id="rId306" display="https://youtu.be/H1yhoVMBQFQ"/>
    <hyperlink ref="F306" r:id="rId2" display="https://files.afu.se/Downloads/Transcripts/0%20-%20Government/USA%20-%20NASA%20Kennedy/"/>
    <hyperlink ref="C307" r:id="rId307" display="https://youtu.be/PCkAe6KKG6I"/>
    <hyperlink ref="F307" r:id="rId2" display="https://files.afu.se/Downloads/Transcripts/0%20-%20Government/USA%20-%20NASA%20Kennedy/"/>
    <hyperlink ref="C308" r:id="rId308" display="https://youtu.be/WrX0287xk10"/>
    <hyperlink ref="F308" r:id="rId2" display="https://files.afu.se/Downloads/Transcripts/0%20-%20Government/USA%20-%20NASA%20Kennedy/"/>
    <hyperlink ref="C309" r:id="rId309" display="https://youtu.be/QkVRsbPhx_8"/>
    <hyperlink ref="F309" r:id="rId2" display="https://files.afu.se/Downloads/Transcripts/0%20-%20Government/USA%20-%20NASA%20Kennedy/"/>
    <hyperlink ref="C310" r:id="rId310" display="https://youtu.be/4z4-OLSfdSc"/>
    <hyperlink ref="F310" r:id="rId2" display="https://files.afu.se/Downloads/Transcripts/0%20-%20Government/USA%20-%20NASA%20Kennedy/"/>
    <hyperlink ref="C311" r:id="rId311" display="https://youtu.be/BFlLCL56v6E"/>
    <hyperlink ref="F311" r:id="rId2" display="https://files.afu.se/Downloads/Transcripts/0%20-%20Government/USA%20-%20NASA%20Kennedy/"/>
    <hyperlink ref="C312" r:id="rId312" display="https://youtu.be/iS4kaPJBmEY"/>
    <hyperlink ref="F312" r:id="rId2" display="https://files.afu.se/Downloads/Transcripts/0%20-%20Government/USA%20-%20NASA%20Kennedy/"/>
    <hyperlink ref="C313" r:id="rId313" display="https://youtu.be/Qx9qSo4M6_Q"/>
    <hyperlink ref="F313" r:id="rId2" display="https://files.afu.se/Downloads/Transcripts/0%20-%20Government/USA%20-%20NASA%20Kennedy/"/>
    <hyperlink ref="C314" r:id="rId314" display="https://youtu.be/VzYoCQZhTkA"/>
    <hyperlink ref="F314" r:id="rId2" display="https://files.afu.se/Downloads/Transcripts/0%20-%20Government/USA%20-%20NASA%20Kennedy/"/>
    <hyperlink ref="C315" r:id="rId315" display="https://youtu.be/m9nE9vb10PE"/>
    <hyperlink ref="F315" r:id="rId2" display="https://files.afu.se/Downloads/Transcripts/0%20-%20Government/USA%20-%20NASA%20Kennedy/"/>
    <hyperlink ref="C316" r:id="rId316" display="https://youtu.be/BSxr5UQDJhQ"/>
    <hyperlink ref="F316" r:id="rId2" display="https://files.afu.se/Downloads/Transcripts/0%20-%20Government/USA%20-%20NASA%20Kennedy/"/>
    <hyperlink ref="C317" r:id="rId317" display="https://youtu.be/mZePGKuo55w"/>
    <hyperlink ref="F317" r:id="rId2" display="https://files.afu.se/Downloads/Transcripts/0%20-%20Government/USA%20-%20NASA%20Kennedy/"/>
    <hyperlink ref="C318" r:id="rId318" display="https://youtu.be/IY0qZwvJmjg"/>
    <hyperlink ref="F318" r:id="rId2" display="https://files.afu.se/Downloads/Transcripts/0%20-%20Government/USA%20-%20NASA%20Kennedy/"/>
    <hyperlink ref="C319" r:id="rId319" display="https://youtu.be/JZShkNXpAZk"/>
    <hyperlink ref="F319" r:id="rId2" display="https://files.afu.se/Downloads/Transcripts/0%20-%20Government/USA%20-%20NASA%20Kennedy/"/>
    <hyperlink ref="C320" r:id="rId320" display="https://youtu.be/azrBxrlXIVA"/>
    <hyperlink ref="F320" r:id="rId2" display="https://files.afu.se/Downloads/Transcripts/0%20-%20Government/USA%20-%20NASA%20Kennedy/"/>
    <hyperlink ref="C321" r:id="rId321" display="https://youtu.be/e8YFpGvDKiY"/>
    <hyperlink ref="F321" r:id="rId2" display="https://files.afu.se/Downloads/Transcripts/0%20-%20Government/USA%20-%20NASA%20Kennedy/"/>
    <hyperlink ref="C322" r:id="rId322" display="https://youtu.be/gAkih4DvcV8"/>
    <hyperlink ref="F322" r:id="rId2" display="https://files.afu.se/Downloads/Transcripts/0%20-%20Government/USA%20-%20NASA%20Kennedy/"/>
    <hyperlink ref="C323" r:id="rId323" display="https://youtu.be/m3qlOgjQ8IQ"/>
    <hyperlink ref="F323" r:id="rId2" display="https://files.afu.se/Downloads/Transcripts/0%20-%20Government/USA%20-%20NASA%20Kennedy/"/>
    <hyperlink ref="C324" r:id="rId324" display="https://youtu.be/Qq2dRRZdbNk"/>
    <hyperlink ref="F324" r:id="rId2" display="https://files.afu.se/Downloads/Transcripts/0%20-%20Government/USA%20-%20NASA%20Kennedy/"/>
    <hyperlink ref="C325" r:id="rId325" display="https://youtu.be/7uaSOg4686g"/>
    <hyperlink ref="F325" r:id="rId2" display="https://files.afu.se/Downloads/Transcripts/0%20-%20Government/USA%20-%20NASA%20Kennedy/"/>
    <hyperlink ref="C326" r:id="rId326" display="https://youtu.be/uMNSZn682CI"/>
    <hyperlink ref="F326" r:id="rId2" display="https://files.afu.se/Downloads/Transcripts/0%20-%20Government/USA%20-%20NASA%20Kennedy/"/>
    <hyperlink ref="C327" r:id="rId327" display="https://youtu.be/RYAIWK8EMpQ"/>
    <hyperlink ref="F327" r:id="rId2" display="https://files.afu.se/Downloads/Transcripts/0%20-%20Government/USA%20-%20NASA%20Kennedy/"/>
    <hyperlink ref="C328" r:id="rId328" display="https://youtu.be/jCHH1av1clI"/>
    <hyperlink ref="F328" r:id="rId2" display="https://files.afu.se/Downloads/Transcripts/0%20-%20Government/USA%20-%20NASA%20Kennedy/"/>
    <hyperlink ref="C329" r:id="rId329" display="https://youtu.be/59_vhOYoWWs"/>
    <hyperlink ref="F329" r:id="rId2" display="https://files.afu.se/Downloads/Transcripts/0%20-%20Government/USA%20-%20NASA%20Kennedy/"/>
    <hyperlink ref="C330" r:id="rId330" display="https://youtu.be/MPRfZJ_wKvg"/>
    <hyperlink ref="F330" r:id="rId2" display="https://files.afu.se/Downloads/Transcripts/0%20-%20Government/USA%20-%20NASA%20Kennedy/"/>
    <hyperlink ref="C331" r:id="rId331" display="https://youtu.be/3GExgpFjBHQ"/>
    <hyperlink ref="F331" r:id="rId2" display="https://files.afu.se/Downloads/Transcripts/0%20-%20Government/USA%20-%20NASA%20Kennedy/"/>
    <hyperlink ref="C332" r:id="rId332" display="https://youtu.be/BnmKCaK3jm8"/>
    <hyperlink ref="F332" r:id="rId2" display="https://files.afu.se/Downloads/Transcripts/0%20-%20Government/USA%20-%20NASA%20Kennedy/"/>
    <hyperlink ref="C333" r:id="rId333" display="https://youtu.be/VcCilovgOBo"/>
    <hyperlink ref="F333" r:id="rId2" display="https://files.afu.se/Downloads/Transcripts/0%20-%20Government/USA%20-%20NASA%20Kennedy/"/>
    <hyperlink ref="C334" r:id="rId334" display="https://youtu.be/Pp8QL8Ap8TM"/>
    <hyperlink ref="F334" r:id="rId2" display="https://files.afu.se/Downloads/Transcripts/0%20-%20Government/USA%20-%20NASA%20Kennedy/"/>
    <hyperlink ref="C335" r:id="rId335" display="https://youtu.be/mPLNg1dj6eU"/>
    <hyperlink ref="F335" r:id="rId2" display="https://files.afu.se/Downloads/Transcripts/0%20-%20Government/USA%20-%20NASA%20Kennedy/"/>
    <hyperlink ref="C336" r:id="rId336" display="https://youtu.be/zS77Mi1wVP4"/>
    <hyperlink ref="F336" r:id="rId2" display="https://files.afu.se/Downloads/Transcripts/0%20-%20Government/USA%20-%20NASA%20Kennedy/"/>
    <hyperlink ref="C337" r:id="rId337" display="https://youtu.be/4_WIfQT-JyQ"/>
    <hyperlink ref="F337" r:id="rId2" display="https://files.afu.se/Downloads/Transcripts/0%20-%20Government/USA%20-%20NASA%20Kennedy/"/>
    <hyperlink ref="C338" r:id="rId338" display="https://youtu.be/lxGlxbSXrR0"/>
    <hyperlink ref="F338" r:id="rId2" display="https://files.afu.se/Downloads/Transcripts/0%20-%20Government/USA%20-%20NASA%20Kennedy/"/>
    <hyperlink ref="C339" r:id="rId339" display="https://youtu.be/_9XrPuPnhfo"/>
    <hyperlink ref="F339" r:id="rId2" display="https://files.afu.se/Downloads/Transcripts/0%20-%20Government/USA%20-%20NASA%20Kennedy/"/>
    <hyperlink ref="C340" r:id="rId340" display="https://youtu.be/Odl0TFh0Qy0"/>
    <hyperlink ref="F340" r:id="rId2" display="https://files.afu.se/Downloads/Transcripts/0%20-%20Government/USA%20-%20NASA%20Kennedy/"/>
    <hyperlink ref="C341" r:id="rId341" display="https://youtu.be/BJvJeeiPpto"/>
    <hyperlink ref="F341" r:id="rId2" display="https://files.afu.se/Downloads/Transcripts/0%20-%20Government/USA%20-%20NASA%20Kennedy/"/>
    <hyperlink ref="C342" r:id="rId342" display="https://youtu.be/daU1z50_SjM"/>
    <hyperlink ref="F342" r:id="rId2" display="https://files.afu.se/Downloads/Transcripts/0%20-%20Government/USA%20-%20NASA%20Kennedy/"/>
    <hyperlink ref="C343" r:id="rId343" display="https://youtu.be/Bj7urES3pEY"/>
    <hyperlink ref="F343" r:id="rId2" display="https://files.afu.se/Downloads/Transcripts/0%20-%20Government/USA%20-%20NASA%20Kennedy/"/>
    <hyperlink ref="C344" r:id="rId344" display="https://youtu.be/24R_RNAEe9s"/>
    <hyperlink ref="F344" r:id="rId2" display="https://files.afu.se/Downloads/Transcripts/0%20-%20Government/USA%20-%20NASA%20Kennedy/"/>
    <hyperlink ref="C345" r:id="rId345" display="https://youtu.be/T-iAYCFo_zE"/>
    <hyperlink ref="F345" r:id="rId2" display="https://files.afu.se/Downloads/Transcripts/0%20-%20Government/USA%20-%20NASA%20Kennedy/"/>
    <hyperlink ref="C346" r:id="rId346" display="https://youtu.be/VJj0w_rJfX8"/>
    <hyperlink ref="F346" r:id="rId2" display="https://files.afu.se/Downloads/Transcripts/0%20-%20Government/USA%20-%20NASA%20Kennedy/"/>
    <hyperlink ref="C347" r:id="rId347" display="https://youtu.be/Q412u-Pwzd0"/>
    <hyperlink ref="F347" r:id="rId2" display="https://files.afu.se/Downloads/Transcripts/0%20-%20Government/USA%20-%20NASA%20Kennedy/"/>
    <hyperlink ref="C348" r:id="rId348" display="https://youtu.be/H0_lGAC1cKc"/>
    <hyperlink ref="F348" r:id="rId2" display="https://files.afu.se/Downloads/Transcripts/0%20-%20Government/USA%20-%20NASA%20Kennedy/"/>
    <hyperlink ref="C349" r:id="rId349" display="https://youtu.be/BMvPLd25LV8"/>
    <hyperlink ref="F349" r:id="rId2" display="https://files.afu.se/Downloads/Transcripts/0%20-%20Government/USA%20-%20NASA%20Kennedy/"/>
    <hyperlink ref="C350" r:id="rId350" display="https://youtu.be/gk0ijHIP3hw"/>
    <hyperlink ref="F350" r:id="rId2" display="https://files.afu.se/Downloads/Transcripts/0%20-%20Government/USA%20-%20NASA%20Kennedy/"/>
    <hyperlink ref="C351" r:id="rId351" display="https://youtu.be/9rY_xecfMyc"/>
    <hyperlink ref="F351" r:id="rId2" display="https://files.afu.se/Downloads/Transcripts/0%20-%20Government/USA%20-%20NASA%20Kennedy/"/>
    <hyperlink ref="C352" r:id="rId352" display="https://youtu.be/Rc5D2Jb7qXQ"/>
    <hyperlink ref="F352" r:id="rId2" display="https://files.afu.se/Downloads/Transcripts/0%20-%20Government/USA%20-%20NASA%20Kennedy/"/>
    <hyperlink ref="C353" r:id="rId353" display="https://youtu.be/SUYuxZSaeH0"/>
    <hyperlink ref="F353" r:id="rId2" display="https://files.afu.se/Downloads/Transcripts/0%20-%20Government/USA%20-%20NASA%20Kennedy/"/>
    <hyperlink ref="C354" r:id="rId354" display="https://youtu.be/lncMoOv7O-Y"/>
    <hyperlink ref="F354" r:id="rId2" display="https://files.afu.se/Downloads/Transcripts/0%20-%20Government/USA%20-%20NASA%20Kennedy/"/>
    <hyperlink ref="C355" r:id="rId355" display="https://youtu.be/S4iu55eDQhE"/>
    <hyperlink ref="F355" r:id="rId2" display="https://files.afu.se/Downloads/Transcripts/0%20-%20Government/USA%20-%20NASA%20Kennedy/"/>
    <hyperlink ref="C356" r:id="rId356" display="https://youtu.be/QGrZ-Lq6pHs"/>
    <hyperlink ref="F356" r:id="rId2" display="https://files.afu.se/Downloads/Transcripts/0%20-%20Government/USA%20-%20NASA%20Kennedy/"/>
    <hyperlink ref="C357" r:id="rId357" display="https://youtu.be/W7EJSd-nEp4"/>
    <hyperlink ref="F357" r:id="rId2" display="https://files.afu.se/Downloads/Transcripts/0%20-%20Government/USA%20-%20NASA%20Kennedy/"/>
    <hyperlink ref="C358" r:id="rId358" display="https://youtu.be/hb_7EpI0r8Q"/>
    <hyperlink ref="F358" r:id="rId2" display="https://files.afu.se/Downloads/Transcripts/0%20-%20Government/USA%20-%20NASA%20Kennedy/"/>
    <hyperlink ref="C359" r:id="rId359" display="https://youtu.be/4XklSyOj_f4"/>
    <hyperlink ref="F359" r:id="rId2" display="https://files.afu.se/Downloads/Transcripts/0%20-%20Government/USA%20-%20NASA%20Kennedy/"/>
    <hyperlink ref="C360" r:id="rId360" display="https://youtu.be/91O70aPQGTY"/>
    <hyperlink ref="F360" r:id="rId2" display="https://files.afu.se/Downloads/Transcripts/0%20-%20Government/USA%20-%20NASA%20Kennedy/"/>
    <hyperlink ref="C361" r:id="rId361" display="https://youtu.be/hMfAxN0URMY"/>
    <hyperlink ref="F361" r:id="rId2" display="https://files.afu.se/Downloads/Transcripts/0%20-%20Government/USA%20-%20NASA%20Kennedy/"/>
    <hyperlink ref="C362" r:id="rId362" display="https://youtu.be/4dHCgxtAp3M"/>
    <hyperlink ref="F362" r:id="rId2" display="https://files.afu.se/Downloads/Transcripts/0%20-%20Government/USA%20-%20NASA%20Kennedy/"/>
    <hyperlink ref="C363" r:id="rId363" display="https://youtu.be/Hx8EWvKqDGM"/>
    <hyperlink ref="F363" r:id="rId2" display="https://files.afu.se/Downloads/Transcripts/0%20-%20Government/USA%20-%20NASA%20Kennedy/"/>
    <hyperlink ref="C364" r:id="rId364" display="https://youtu.be/-xoVUaHVKGE"/>
    <hyperlink ref="F364" r:id="rId2" display="https://files.afu.se/Downloads/Transcripts/0%20-%20Government/USA%20-%20NASA%20Kennedy/"/>
    <hyperlink ref="C365" r:id="rId365" display="https://youtu.be/q7VOWA2BQbo"/>
    <hyperlink ref="F365" r:id="rId2" display="https://files.afu.se/Downloads/Transcripts/0%20-%20Government/USA%20-%20NASA%20Kennedy/"/>
    <hyperlink ref="C366" r:id="rId366" display="https://youtu.be/KY408NyQ8c0"/>
    <hyperlink ref="F366" r:id="rId2" display="https://files.afu.se/Downloads/Transcripts/0%20-%20Government/USA%20-%20NASA%20Kennedy/"/>
    <hyperlink ref="C367" r:id="rId367" display="https://youtu.be/_rzZcNcyI38"/>
    <hyperlink ref="F367" r:id="rId2" display="https://files.afu.se/Downloads/Transcripts/0%20-%20Government/USA%20-%20NASA%20Kennedy/"/>
    <hyperlink ref="C368" r:id="rId368" display="https://youtu.be/O4e8PiAPCqk"/>
    <hyperlink ref="F368" r:id="rId2" display="https://files.afu.se/Downloads/Transcripts/0%20-%20Government/USA%20-%20NASA%20Kennedy/"/>
    <hyperlink ref="C369" r:id="rId369" display="https://youtu.be/x_0wBdZ5tgc"/>
    <hyperlink ref="F369" r:id="rId2" display="https://files.afu.se/Downloads/Transcripts/0%20-%20Government/USA%20-%20NASA%20Kennedy/"/>
    <hyperlink ref="C370" r:id="rId370" display="https://youtu.be/iB6vOP4_9wM"/>
    <hyperlink ref="F370" r:id="rId2" display="https://files.afu.se/Downloads/Transcripts/0%20-%20Government/USA%20-%20NASA%20Kennedy/"/>
    <hyperlink ref="C371" r:id="rId371" display="https://youtu.be/kaxXuzVZMT0"/>
    <hyperlink ref="F371" r:id="rId2" display="https://files.afu.se/Downloads/Transcripts/0%20-%20Government/USA%20-%20NASA%20Kennedy/"/>
    <hyperlink ref="C372" r:id="rId372" display="https://youtu.be/O4dQTh6LKeU"/>
    <hyperlink ref="F372" r:id="rId2" display="https://files.afu.se/Downloads/Transcripts/0%20-%20Government/USA%20-%20NASA%20Kennedy/"/>
    <hyperlink ref="C373" r:id="rId373" display="https://youtu.be/M11E3kQgPqY"/>
    <hyperlink ref="F373" r:id="rId2" display="https://files.afu.se/Downloads/Transcripts/0%20-%20Government/USA%20-%20NASA%20Kennedy/"/>
    <hyperlink ref="C374" r:id="rId374" display="https://youtu.be/2jsLPPN4EUY"/>
    <hyperlink ref="F374" r:id="rId2" display="https://files.afu.se/Downloads/Transcripts/0%20-%20Government/USA%20-%20NASA%20Kennedy/"/>
    <hyperlink ref="C375" r:id="rId375" display="https://youtu.be/haXoWZTu6GE"/>
    <hyperlink ref="F375" r:id="rId2" display="https://files.afu.se/Downloads/Transcripts/0%20-%20Government/USA%20-%20NASA%20Kennedy/"/>
    <hyperlink ref="C376" r:id="rId376" display="https://youtu.be/esle7bnpwrM"/>
    <hyperlink ref="F376" r:id="rId2" display="https://files.afu.se/Downloads/Transcripts/0%20-%20Government/USA%20-%20NASA%20Kennedy/"/>
    <hyperlink ref="C377" r:id="rId377" display="https://youtu.be/v9Gjp65MZj0"/>
    <hyperlink ref="F377" r:id="rId2" display="https://files.afu.se/Downloads/Transcripts/0%20-%20Government/USA%20-%20NASA%20Kennedy/"/>
    <hyperlink ref="C378" r:id="rId378" display="https://youtu.be/zFve9BrKj7k"/>
    <hyperlink ref="F378" r:id="rId2" display="https://files.afu.se/Downloads/Transcripts/0%20-%20Government/USA%20-%20NASA%20Kennedy/"/>
    <hyperlink ref="C379" r:id="rId379" display="https://youtu.be/orXIxoZs1i0"/>
    <hyperlink ref="F379" r:id="rId2" display="https://files.afu.se/Downloads/Transcripts/0%20-%20Government/USA%20-%20NASA%20Kennedy/"/>
    <hyperlink ref="C380" r:id="rId380" display="https://youtu.be/fpJ7MegTLBo"/>
    <hyperlink ref="F380" r:id="rId2" display="https://files.afu.se/Downloads/Transcripts/0%20-%20Government/USA%20-%20NASA%20Kennedy/"/>
    <hyperlink ref="C381" r:id="rId381" display="https://youtu.be/4rfsDMGplZU"/>
    <hyperlink ref="F381" r:id="rId2" display="https://files.afu.se/Downloads/Transcripts/0%20-%20Government/USA%20-%20NASA%20Kennedy/"/>
    <hyperlink ref="C382" r:id="rId382" display="https://youtu.be/q6XjCJGX_fk"/>
    <hyperlink ref="F382" r:id="rId2" display="https://files.afu.se/Downloads/Transcripts/0%20-%20Government/USA%20-%20NASA%20Kennedy/"/>
    <hyperlink ref="C383" r:id="rId383" display="https://youtu.be/qFLdcT6Y94M"/>
    <hyperlink ref="F383" r:id="rId2" display="https://files.afu.se/Downloads/Transcripts/0%20-%20Government/USA%20-%20NASA%20Kennedy/"/>
    <hyperlink ref="C384" r:id="rId384" display="https://youtu.be/VPQgJ5Hr7Is"/>
    <hyperlink ref="F384" r:id="rId2" display="https://files.afu.se/Downloads/Transcripts/0%20-%20Government/USA%20-%20NASA%20Kennedy/"/>
    <hyperlink ref="C385" r:id="rId385" display="https://youtu.be/hSPgZmAkUgQ"/>
    <hyperlink ref="F385" r:id="rId2" display="https://files.afu.se/Downloads/Transcripts/0%20-%20Government/USA%20-%20NASA%20Kennedy/"/>
    <hyperlink ref="C386" r:id="rId386" display="https://youtu.be/6t6SG5-AjbA"/>
    <hyperlink ref="F386" r:id="rId2" display="https://files.afu.se/Downloads/Transcripts/0%20-%20Government/USA%20-%20NASA%20Kennedy/"/>
    <hyperlink ref="C387" r:id="rId387" display="https://youtu.be/jPSok86e4FA"/>
    <hyperlink ref="F387" r:id="rId2" display="https://files.afu.se/Downloads/Transcripts/0%20-%20Government/USA%20-%20NASA%20Kennedy/"/>
    <hyperlink ref="C388" r:id="rId388" display="https://youtu.be/8-9amsugSXA"/>
    <hyperlink ref="F388" r:id="rId2" display="https://files.afu.se/Downloads/Transcripts/0%20-%20Government/USA%20-%20NASA%20Kennedy/"/>
    <hyperlink ref="C389" r:id="rId389" display="https://youtu.be/sZDv0Zka2Pk"/>
    <hyperlink ref="F389" r:id="rId2" display="https://files.afu.se/Downloads/Transcripts/0%20-%20Government/USA%20-%20NASA%20Kennedy/"/>
    <hyperlink ref="C390" r:id="rId390" display="https://youtu.be/cSGbpZ6hOg0"/>
    <hyperlink ref="F390" r:id="rId2" display="https://files.afu.se/Downloads/Transcripts/0%20-%20Government/USA%20-%20NASA%20Kennedy/"/>
    <hyperlink ref="C391" r:id="rId391" display="https://youtu.be/GRsrUvgPnvA"/>
    <hyperlink ref="F391" r:id="rId2" display="https://files.afu.se/Downloads/Transcripts/0%20-%20Government/USA%20-%20NASA%20Kennedy/"/>
    <hyperlink ref="C392" r:id="rId392" display="https://youtu.be/t9h88z8Sxr8"/>
    <hyperlink ref="F392" r:id="rId2" display="https://files.afu.se/Downloads/Transcripts/0%20-%20Government/USA%20-%20NASA%20Kennedy/"/>
    <hyperlink ref="C393" r:id="rId393" display="https://youtu.be/ugxbcl17VpY"/>
    <hyperlink ref="F393" r:id="rId2" display="https://files.afu.se/Downloads/Transcripts/0%20-%20Government/USA%20-%20NASA%20Kennedy/"/>
    <hyperlink ref="C394" r:id="rId394" display="https://youtu.be/dDMxBg4RWko"/>
    <hyperlink ref="F394" r:id="rId2" display="https://files.afu.se/Downloads/Transcripts/0%20-%20Government/USA%20-%20NASA%20Kennedy/"/>
    <hyperlink ref="C395" r:id="rId395" display="https://youtu.be/enDHztdUpeY"/>
    <hyperlink ref="F395" r:id="rId2" display="https://files.afu.se/Downloads/Transcripts/0%20-%20Government/USA%20-%20NASA%20Kennedy/"/>
    <hyperlink ref="C396" r:id="rId396" display="https://youtu.be/7GAFn4JzyO0"/>
    <hyperlink ref="F396" r:id="rId2" display="https://files.afu.se/Downloads/Transcripts/0%20-%20Government/USA%20-%20NASA%20Kennedy/"/>
    <hyperlink ref="C397" r:id="rId397" display="https://youtu.be/fUJQ1tXyTPs"/>
    <hyperlink ref="F397" r:id="rId2" display="https://files.afu.se/Downloads/Transcripts/0%20-%20Government/USA%20-%20NASA%20Kennedy/"/>
    <hyperlink ref="C398" r:id="rId398" display="https://youtu.be/bim4HgqKC2M"/>
    <hyperlink ref="F398" r:id="rId2" display="https://files.afu.se/Downloads/Transcripts/0%20-%20Government/USA%20-%20NASA%20Kennedy/"/>
    <hyperlink ref="C399" r:id="rId399" display="https://youtu.be/g5tWIbOnwYY"/>
    <hyperlink ref="F399" r:id="rId2" display="https://files.afu.se/Downloads/Transcripts/0%20-%20Government/USA%20-%20NASA%20Kennedy/"/>
    <hyperlink ref="C400" r:id="rId400" display="https://youtu.be/LAaIxR1zwvc"/>
    <hyperlink ref="F400" r:id="rId2" display="https://files.afu.se/Downloads/Transcripts/0%20-%20Government/USA%20-%20NASA%20Kennedy/"/>
    <hyperlink ref="C401" r:id="rId401" display="https://youtu.be/aEpY0dF0hUA"/>
    <hyperlink ref="F401" r:id="rId2" display="https://files.afu.se/Downloads/Transcripts/0%20-%20Government/USA%20-%20NASA%20Kennedy/"/>
    <hyperlink ref="C402" r:id="rId402" display="https://youtu.be/2VPdLydFGwk"/>
    <hyperlink ref="F402" r:id="rId2" display="https://files.afu.se/Downloads/Transcripts/0%20-%20Government/USA%20-%20NASA%20Kennedy/"/>
    <hyperlink ref="C403" r:id="rId403" display="https://youtu.be/mP697nB5DzE"/>
    <hyperlink ref="F403" r:id="rId2" display="https://files.afu.se/Downloads/Transcripts/0%20-%20Government/USA%20-%20NASA%20Kennedy/"/>
    <hyperlink ref="C404" r:id="rId404" display="https://youtu.be/wj-bLgOhAaM"/>
    <hyperlink ref="F404" r:id="rId2" display="https://files.afu.se/Downloads/Transcripts/0%20-%20Government/USA%20-%20NASA%20Kennedy/"/>
    <hyperlink ref="C405" r:id="rId405" display="https://youtu.be/GYIkDBebyvg"/>
    <hyperlink ref="F405" r:id="rId2" display="https://files.afu.se/Downloads/Transcripts/0%20-%20Government/USA%20-%20NASA%20Kennedy/"/>
    <hyperlink ref="C406" r:id="rId406" display="https://youtu.be/wRiS_rhYZro"/>
    <hyperlink ref="F406" r:id="rId2" display="https://files.afu.se/Downloads/Transcripts/0%20-%20Government/USA%20-%20NASA%20Kennedy/"/>
    <hyperlink ref="C407" r:id="rId407" display="https://youtu.be/nG_SHTY_zdY"/>
    <hyperlink ref="F407" r:id="rId2" display="https://files.afu.se/Downloads/Transcripts/0%20-%20Government/USA%20-%20NASA%20Kennedy/"/>
    <hyperlink ref="C408" r:id="rId408" display="https://youtu.be/Cx8Dd9YQmm4"/>
    <hyperlink ref="F408" r:id="rId2" display="https://files.afu.se/Downloads/Transcripts/0%20-%20Government/USA%20-%20NASA%20Kennedy/"/>
    <hyperlink ref="C409" r:id="rId409" display="https://youtu.be/bYuxNoSMZ2w"/>
    <hyperlink ref="F409" r:id="rId2" display="https://files.afu.se/Downloads/Transcripts/0%20-%20Government/USA%20-%20NASA%20Kennedy/"/>
    <hyperlink ref="C410" r:id="rId410" display="https://youtu.be/nTyK2OiRmN8"/>
    <hyperlink ref="F410" r:id="rId2" display="https://files.afu.se/Downloads/Transcripts/0%20-%20Government/USA%20-%20NASA%20Kennedy/"/>
    <hyperlink ref="C411" r:id="rId411" display="https://youtu.be/NP-aQNZCHrE"/>
    <hyperlink ref="F411" r:id="rId2" display="https://files.afu.se/Downloads/Transcripts/0%20-%20Government/USA%20-%20NASA%20Kennedy/"/>
    <hyperlink ref="C412" r:id="rId412" display="https://youtu.be/LcBdovHgwaE"/>
    <hyperlink ref="F412" r:id="rId2" display="https://files.afu.se/Downloads/Transcripts/0%20-%20Government/USA%20-%20NASA%20Kennedy/"/>
    <hyperlink ref="C413" r:id="rId413" display="https://youtu.be/ppNFTk-XNxY"/>
    <hyperlink ref="F413" r:id="rId2" display="https://files.afu.se/Downloads/Transcripts/0%20-%20Government/USA%20-%20NASA%20Kennedy/"/>
    <hyperlink ref="C414" r:id="rId414" display="https://youtu.be/7vh17Z683Mg"/>
    <hyperlink ref="F414" r:id="rId2" display="https://files.afu.se/Downloads/Transcripts/0%20-%20Government/USA%20-%20NASA%20Kennedy/"/>
    <hyperlink ref="C415" r:id="rId415" display="https://youtu.be/kfbIQAPw33c"/>
    <hyperlink ref="F415" r:id="rId2" display="https://files.afu.se/Downloads/Transcripts/0%20-%20Government/USA%20-%20NASA%20Kennedy/"/>
    <hyperlink ref="C416" r:id="rId416" display="https://youtu.be/0ZvbB2PhSnY"/>
    <hyperlink ref="F416" r:id="rId2" display="https://files.afu.se/Downloads/Transcripts/0%20-%20Government/USA%20-%20NASA%20Kennedy/"/>
    <hyperlink ref="C417" r:id="rId417" display="https://youtu.be/p2Jwm56S8uk"/>
    <hyperlink ref="F417" r:id="rId2" display="https://files.afu.se/Downloads/Transcripts/0%20-%20Government/USA%20-%20NASA%20Kennedy/"/>
    <hyperlink ref="C418" r:id="rId418" display="https://youtu.be/YxOpu4vjCO0"/>
    <hyperlink ref="F418" r:id="rId2" display="https://files.afu.se/Downloads/Transcripts/0%20-%20Government/USA%20-%20NASA%20Kennedy/"/>
    <hyperlink ref="C419" r:id="rId419" display="https://youtu.be/iE1BoaqJ3sc"/>
    <hyperlink ref="F419" r:id="rId2" display="https://files.afu.se/Downloads/Transcripts/0%20-%20Government/USA%20-%20NASA%20Kennedy/"/>
    <hyperlink ref="C420" r:id="rId420" display="https://youtu.be/wS_rrISakwM"/>
    <hyperlink ref="F420" r:id="rId2" display="https://files.afu.se/Downloads/Transcripts/0%20-%20Government/USA%20-%20NASA%20Kennedy/"/>
    <hyperlink ref="C421" r:id="rId421" display="https://youtu.be/QBxLnu_ORRQ"/>
    <hyperlink ref="F421" r:id="rId2" display="https://files.afu.se/Downloads/Transcripts/0%20-%20Government/USA%20-%20NASA%20Kennedy/"/>
    <hyperlink ref="C422" r:id="rId422" display="https://youtu.be/UGosxzELR4Y"/>
    <hyperlink ref="F422" r:id="rId2" display="https://files.afu.se/Downloads/Transcripts/0%20-%20Government/USA%20-%20NASA%20Kennedy/"/>
    <hyperlink ref="C423" r:id="rId423" display="https://youtu.be/CZQ1RQcb7E8"/>
    <hyperlink ref="F423" r:id="rId2" display="https://files.afu.se/Downloads/Transcripts/0%20-%20Government/USA%20-%20NASA%20Kennedy/"/>
    <hyperlink ref="C424" r:id="rId424" display="https://youtu.be/Qt2mBaZnhyU"/>
    <hyperlink ref="F424" r:id="rId2" display="https://files.afu.se/Downloads/Transcripts/0%20-%20Government/USA%20-%20NASA%20Kennedy/"/>
    <hyperlink ref="C425" r:id="rId425" display="https://youtu.be/4IaAyfM9cdE"/>
    <hyperlink ref="F425" r:id="rId2" display="https://files.afu.se/Downloads/Transcripts/0%20-%20Government/USA%20-%20NASA%20Kennedy/"/>
    <hyperlink ref="C426" r:id="rId426" display="https://youtu.be/Y8zChtFl4Bc"/>
    <hyperlink ref="F426" r:id="rId2" display="https://files.afu.se/Downloads/Transcripts/0%20-%20Government/USA%20-%20NASA%20Kennedy/"/>
    <hyperlink ref="C427" r:id="rId427" display="https://youtu.be/elBjfTppqlw"/>
    <hyperlink ref="F427" r:id="rId2" display="https://files.afu.se/Downloads/Transcripts/0%20-%20Government/USA%20-%20NASA%20Kennedy/"/>
    <hyperlink ref="C428" r:id="rId428" display="https://youtu.be/4n4mW2lzaJE"/>
    <hyperlink ref="F428" r:id="rId2" display="https://files.afu.se/Downloads/Transcripts/0%20-%20Government/USA%20-%20NASA%20Kennedy/"/>
    <hyperlink ref="C429" r:id="rId429" display="https://youtu.be/Jn5JaJRHwbQ"/>
    <hyperlink ref="F429" r:id="rId2" display="https://files.afu.se/Downloads/Transcripts/0%20-%20Government/USA%20-%20NASA%20Kennedy/"/>
    <hyperlink ref="C430" r:id="rId430" display="https://youtu.be/crjBOXPN9FY"/>
    <hyperlink ref="F430" r:id="rId2" display="https://files.afu.se/Downloads/Transcripts/0%20-%20Government/USA%20-%20NASA%20Kennedy/"/>
    <hyperlink ref="C431" r:id="rId431" display="https://youtu.be/SBj2KsnAKb4"/>
    <hyperlink ref="F431" r:id="rId2" display="https://files.afu.se/Downloads/Transcripts/0%20-%20Government/USA%20-%20NASA%20Kennedy/"/>
    <hyperlink ref="C432" r:id="rId432" display="https://youtu.be/cNKaM7KVj7Q"/>
    <hyperlink ref="F432" r:id="rId2" display="https://files.afu.se/Downloads/Transcripts/0%20-%20Government/USA%20-%20NASA%20Kennedy/"/>
    <hyperlink ref="C433" r:id="rId433" display="https://youtu.be/Q5aT0BLbgMQ"/>
    <hyperlink ref="F433" r:id="rId2" display="https://files.afu.se/Downloads/Transcripts/0%20-%20Government/USA%20-%20NASA%20Kennedy/"/>
    <hyperlink ref="C434" r:id="rId434" display="https://youtu.be/m9-QlQTou9U"/>
    <hyperlink ref="F434" r:id="rId2" display="https://files.afu.se/Downloads/Transcripts/0%20-%20Government/USA%20-%20NASA%20Kennedy/"/>
    <hyperlink ref="C435" r:id="rId435" display="https://youtu.be/nBXuIUTiKTE"/>
    <hyperlink ref="F435" r:id="rId2" display="https://files.afu.se/Downloads/Transcripts/0%20-%20Government/USA%20-%20NASA%20Kennedy/"/>
    <hyperlink ref="C436" r:id="rId436" display="https://youtu.be/4fv12NUZhd0"/>
    <hyperlink ref="F436" r:id="rId2" display="https://files.afu.se/Downloads/Transcripts/0%20-%20Government/USA%20-%20NASA%20Kennedy/"/>
    <hyperlink ref="C437" r:id="rId437" display="https://youtu.be/6Y1N37rciGk"/>
    <hyperlink ref="F437" r:id="rId2" display="https://files.afu.se/Downloads/Transcripts/0%20-%20Government/USA%20-%20NASA%20Kennedy/"/>
    <hyperlink ref="C438" r:id="rId438" display="https://youtu.be/UemJoUu6pyc"/>
    <hyperlink ref="F438" r:id="rId2" display="https://files.afu.se/Downloads/Transcripts/0%20-%20Government/USA%20-%20NASA%20Kennedy/"/>
    <hyperlink ref="C439" r:id="rId439" display="https://youtu.be/9GwU8O8wfpQ"/>
    <hyperlink ref="F439" r:id="rId2" display="https://files.afu.se/Downloads/Transcripts/0%20-%20Government/USA%20-%20NASA%20Kennedy/"/>
    <hyperlink ref="C440" r:id="rId440" display="https://youtu.be/GrLRalLdMbw"/>
    <hyperlink ref="F440" r:id="rId2" display="https://files.afu.se/Downloads/Transcripts/0%20-%20Government/USA%20-%20NASA%20Kennedy/"/>
    <hyperlink ref="C441" r:id="rId441" display="https://youtu.be/MrnIY-q0x70"/>
    <hyperlink ref="F441" r:id="rId2" display="https://files.afu.se/Downloads/Transcripts/0%20-%20Government/USA%20-%20NASA%20Kennedy/"/>
    <hyperlink ref="C442" r:id="rId442" display="https://youtu.be/d8I3PnPljeE"/>
    <hyperlink ref="F442" r:id="rId2" display="https://files.afu.se/Downloads/Transcripts/0%20-%20Government/USA%20-%20NASA%20Kennedy/"/>
    <hyperlink ref="C443" r:id="rId443" display="https://youtu.be/2Pyd_ZfpxsA"/>
    <hyperlink ref="F443" r:id="rId2" display="https://files.afu.se/Downloads/Transcripts/0%20-%20Government/USA%20-%20NASA%20Kennedy/"/>
    <hyperlink ref="C444" r:id="rId444" display="https://youtu.be/T7Iu_yXtbPQ"/>
    <hyperlink ref="F444" r:id="rId2" display="https://files.afu.se/Downloads/Transcripts/0%20-%20Government/USA%20-%20NASA%20Kennedy/"/>
    <hyperlink ref="C445" r:id="rId445" display="https://youtu.be/qNhXhov8zkk"/>
    <hyperlink ref="F445" r:id="rId2" display="https://files.afu.se/Downloads/Transcripts/0%20-%20Government/USA%20-%20NASA%20Kennedy/"/>
    <hyperlink ref="C446" r:id="rId446" display="https://youtu.be/_gN00Rfof8k"/>
    <hyperlink ref="F446" r:id="rId2" display="https://files.afu.se/Downloads/Transcripts/0%20-%20Government/USA%20-%20NASA%20Kennedy/"/>
    <hyperlink ref="C447" r:id="rId447" display="https://youtu.be/7JRmqth1MQM"/>
    <hyperlink ref="F447" r:id="rId2" display="https://files.afu.se/Downloads/Transcripts/0%20-%20Government/USA%20-%20NASA%20Kennedy/"/>
    <hyperlink ref="C448" r:id="rId448" display="https://youtu.be/v6NiVc4qbxI"/>
    <hyperlink ref="F448" r:id="rId2" display="https://files.afu.se/Downloads/Transcripts/0%20-%20Government/USA%20-%20NASA%20Kennedy/"/>
    <hyperlink ref="C449" r:id="rId449" display="https://youtu.be/8OqyWz5iVF0"/>
    <hyperlink ref="F449" r:id="rId2" display="https://files.afu.se/Downloads/Transcripts/0%20-%20Government/USA%20-%20NASA%20Kennedy/"/>
    <hyperlink ref="C450" r:id="rId450" display="https://youtu.be/58_WKnjqYOo"/>
    <hyperlink ref="F450" r:id="rId2" display="https://files.afu.se/Downloads/Transcripts/0%20-%20Government/USA%20-%20NASA%20Kennedy/"/>
    <hyperlink ref="C451" r:id="rId451" display="https://youtu.be/6VgtqBsQsdQ"/>
    <hyperlink ref="F451" r:id="rId2" display="https://files.afu.se/Downloads/Transcripts/0%20-%20Government/USA%20-%20NASA%20Kennedy/"/>
    <hyperlink ref="C452" r:id="rId452" display="https://youtu.be/0EJqfWMuOAQ"/>
    <hyperlink ref="F452" r:id="rId2" display="https://files.afu.se/Downloads/Transcripts/0%20-%20Government/USA%20-%20NASA%20Kennedy/"/>
    <hyperlink ref="C453" r:id="rId453" display="https://youtu.be/ApG9abfohW4"/>
    <hyperlink ref="F453" r:id="rId2" display="https://files.afu.se/Downloads/Transcripts/0%20-%20Government/USA%20-%20NASA%20Kennedy/"/>
    <hyperlink ref="C454" r:id="rId454" display="https://youtu.be/-Rp1As2v63Y"/>
    <hyperlink ref="F454" r:id="rId2" display="https://files.afu.se/Downloads/Transcripts/0%20-%20Government/USA%20-%20NASA%20Kennedy/"/>
    <hyperlink ref="C455" r:id="rId455" display="https://youtu.be/S42s1s3U77A"/>
    <hyperlink ref="F455" r:id="rId2" display="https://files.afu.se/Downloads/Transcripts/0%20-%20Government/USA%20-%20NASA%20Kennedy/"/>
    <hyperlink ref="C456" r:id="rId456" display="https://youtu.be/nrjdAoXgb-M"/>
    <hyperlink ref="F456" r:id="rId2" display="https://files.afu.se/Downloads/Transcripts/0%20-%20Government/USA%20-%20NASA%20Kennedy/"/>
    <hyperlink ref="C457" r:id="rId457" display="https://youtu.be/iV3JcebcsJM"/>
    <hyperlink ref="F457" r:id="rId2" display="https://files.afu.se/Downloads/Transcripts/0%20-%20Government/USA%20-%20NASA%20Kennedy/"/>
    <hyperlink ref="C458" r:id="rId458" display="https://youtu.be/PpQypUuVBL8"/>
    <hyperlink ref="F458" r:id="rId2" display="https://files.afu.se/Downloads/Transcripts/0%20-%20Government/USA%20-%20NASA%20Kennedy/"/>
    <hyperlink ref="C459" r:id="rId459" display="https://youtu.be/WP-1JgYvxLI"/>
    <hyperlink ref="F459" r:id="rId2" display="https://files.afu.se/Downloads/Transcripts/0%20-%20Government/USA%20-%20NASA%20Kennedy/"/>
    <hyperlink ref="C460" r:id="rId460" display="https://youtu.be/HFVXgl4SKz4"/>
    <hyperlink ref="F460" r:id="rId2" display="https://files.afu.se/Downloads/Transcripts/0%20-%20Government/USA%20-%20NASA%20Kennedy/"/>
    <hyperlink ref="C461" r:id="rId461" display="https://youtu.be/uUwGGAIXxpg"/>
    <hyperlink ref="F461" r:id="rId2" display="https://files.afu.se/Downloads/Transcripts/0%20-%20Government/USA%20-%20NASA%20Kennedy/"/>
    <hyperlink ref="C462" r:id="rId462" display="https://youtu.be/8dtd85YKkAs"/>
    <hyperlink ref="F462" r:id="rId2" display="https://files.afu.se/Downloads/Transcripts/0%20-%20Government/USA%20-%20NASA%20Kennedy/"/>
    <hyperlink ref="C463" r:id="rId463" display="https://youtu.be/0YXq-aDsZQs"/>
    <hyperlink ref="F463" r:id="rId2" display="https://files.afu.se/Downloads/Transcripts/0%20-%20Government/USA%20-%20NASA%20Kennedy/"/>
    <hyperlink ref="C464" r:id="rId464" display="https://youtu.be/ypK5m8EwSqo"/>
    <hyperlink ref="F464" r:id="rId2" display="https://files.afu.se/Downloads/Transcripts/0%20-%20Government/USA%20-%20NASA%20Kennedy/"/>
    <hyperlink ref="C465" r:id="rId465" display="https://youtu.be/37OeHMr9yPg"/>
    <hyperlink ref="F465" r:id="rId2" display="https://files.afu.se/Downloads/Transcripts/0%20-%20Government/USA%20-%20NASA%20Kennedy/"/>
    <hyperlink ref="C466" r:id="rId466" display="https://youtu.be/ZCk5sLrEAJA"/>
    <hyperlink ref="F466" r:id="rId2" display="https://files.afu.se/Downloads/Transcripts/0%20-%20Government/USA%20-%20NASA%20Kennedy/"/>
    <hyperlink ref="C467" r:id="rId467" display="https://youtu.be/618gaC7S_Xg"/>
    <hyperlink ref="F467" r:id="rId2" display="https://files.afu.se/Downloads/Transcripts/0%20-%20Government/USA%20-%20NASA%20Kennedy/"/>
    <hyperlink ref="C468" r:id="rId468" display="https://youtu.be/5qrUVh-Xev8"/>
    <hyperlink ref="F468" r:id="rId2" display="https://files.afu.se/Downloads/Transcripts/0%20-%20Government/USA%20-%20NASA%20Kennedy/"/>
    <hyperlink ref="C469" r:id="rId469" display="https://youtu.be/xem0tM3Fl7I"/>
    <hyperlink ref="F469" r:id="rId2" display="https://files.afu.se/Downloads/Transcripts/0%20-%20Government/USA%20-%20NASA%20Kennedy/"/>
    <hyperlink ref="C470" r:id="rId470" display="https://youtu.be/B5_zODAGx14"/>
    <hyperlink ref="F470" r:id="rId2" display="https://files.afu.se/Downloads/Transcripts/0%20-%20Government/USA%20-%20NASA%20Kennedy/"/>
    <hyperlink ref="C471" r:id="rId471" display="https://youtu.be/FCVJWNbhb14"/>
    <hyperlink ref="F471" r:id="rId2" display="https://files.afu.se/Downloads/Transcripts/0%20-%20Government/USA%20-%20NASA%20Kennedy/"/>
    <hyperlink ref="C472" r:id="rId472" display="https://youtu.be/zcZ-KRfLK38"/>
    <hyperlink ref="F472" r:id="rId2" display="https://files.afu.se/Downloads/Transcripts/0%20-%20Government/USA%20-%20NASA%20Kennedy/"/>
    <hyperlink ref="C473" r:id="rId473" display="https://youtu.be/tTjKSDuF5r4"/>
    <hyperlink ref="F473" r:id="rId2" display="https://files.afu.se/Downloads/Transcripts/0%20-%20Government/USA%20-%20NASA%20Kennedy/"/>
    <hyperlink ref="C474" r:id="rId474" display="https://youtu.be/iVAZZsUbw7M"/>
    <hyperlink ref="F474" r:id="rId2" display="https://files.afu.se/Downloads/Transcripts/0%20-%20Government/USA%20-%20NASA%20Kennedy/"/>
    <hyperlink ref="C475" r:id="rId475" display="https://youtu.be/Yif4iu4QDNI"/>
    <hyperlink ref="F475" r:id="rId2" display="https://files.afu.se/Downloads/Transcripts/0%20-%20Government/USA%20-%20NASA%20Kennedy/"/>
    <hyperlink ref="C476" r:id="rId476" display="https://youtu.be/grfJgdiD1aM"/>
    <hyperlink ref="F476" r:id="rId2" display="https://files.afu.se/Downloads/Transcripts/0%20-%20Government/USA%20-%20NASA%20Kennedy/"/>
    <hyperlink ref="C477" r:id="rId477" display="https://youtu.be/Y0Vs_nrPZK8"/>
    <hyperlink ref="F477" r:id="rId2" display="https://files.afu.se/Downloads/Transcripts/0%20-%20Government/USA%20-%20NASA%20Kennedy/"/>
    <hyperlink ref="C478" r:id="rId478" display="https://youtu.be/vwoq-4Ys46Y"/>
    <hyperlink ref="F478" r:id="rId2" display="https://files.afu.se/Downloads/Transcripts/0%20-%20Government/USA%20-%20NASA%20Kennedy/"/>
    <hyperlink ref="C479" r:id="rId479" display="https://youtu.be/fuT-dOUuN9Q"/>
    <hyperlink ref="F479" r:id="rId2" display="https://files.afu.se/Downloads/Transcripts/0%20-%20Government/USA%20-%20NASA%20Kennedy/"/>
    <hyperlink ref="C480" r:id="rId480" display="https://youtu.be/igyU-7U1-mk"/>
    <hyperlink ref="F480" r:id="rId2" display="https://files.afu.se/Downloads/Transcripts/0%20-%20Government/USA%20-%20NASA%20Kennedy/"/>
    <hyperlink ref="C481" r:id="rId481" display="https://youtu.be/OXLmshN0V1M"/>
    <hyperlink ref="F481" r:id="rId2" display="https://files.afu.se/Downloads/Transcripts/0%20-%20Government/USA%20-%20NASA%20Kennedy/"/>
    <hyperlink ref="C482" r:id="rId482" display="https://youtu.be/GEayXUlUars"/>
    <hyperlink ref="F482" r:id="rId2" display="https://files.afu.se/Downloads/Transcripts/0%20-%20Government/USA%20-%20NASA%20Kennedy/"/>
    <hyperlink ref="C483" r:id="rId483" display="https://youtu.be/gpouNl1sgqA"/>
    <hyperlink ref="F483" r:id="rId2" display="https://files.afu.se/Downloads/Transcripts/0%20-%20Government/USA%20-%20NASA%20Kennedy/"/>
    <hyperlink ref="C484" r:id="rId484" display="https://youtu.be/NJbcJ5kSlCg"/>
    <hyperlink ref="F484" r:id="rId2" display="https://files.afu.se/Downloads/Transcripts/0%20-%20Government/USA%20-%20NASA%20Kennedy/"/>
    <hyperlink ref="C485" r:id="rId485" display="https://youtu.be/JAVX1ia7mEI"/>
    <hyperlink ref="F485" r:id="rId2" display="https://files.afu.se/Downloads/Transcripts/0%20-%20Government/USA%20-%20NASA%20Kennedy/"/>
    <hyperlink ref="C486" r:id="rId486" display="https://youtu.be/HTtj3m5hIwE"/>
    <hyperlink ref="F486" r:id="rId2" display="https://files.afu.se/Downloads/Transcripts/0%20-%20Government/USA%20-%20NASA%20Kennedy/"/>
    <hyperlink ref="C487" r:id="rId487" display="https://youtu.be/Kr78OOr2sCc"/>
    <hyperlink ref="F487" r:id="rId2" display="https://files.afu.se/Downloads/Transcripts/0%20-%20Government/USA%20-%20NASA%20Kennedy/"/>
    <hyperlink ref="C488" r:id="rId488" display="https://youtu.be/Tc0-Hhmgmm0"/>
    <hyperlink ref="F488" r:id="rId2" display="https://files.afu.se/Downloads/Transcripts/0%20-%20Government/USA%20-%20NASA%20Kennedy/"/>
    <hyperlink ref="C489" r:id="rId489" display="https://youtu.be/aoU5P2SSCho"/>
    <hyperlink ref="F489" r:id="rId2" display="https://files.afu.se/Downloads/Transcripts/0%20-%20Government/USA%20-%20NASA%20Kennedy/"/>
    <hyperlink ref="C490" r:id="rId490" display="https://youtu.be/vwbOFkPuqhM"/>
    <hyperlink ref="F490" r:id="rId2" display="https://files.afu.se/Downloads/Transcripts/0%20-%20Government/USA%20-%20NASA%20Kennedy/"/>
    <hyperlink ref="C491" r:id="rId491" display="https://youtu.be/W5g9FSri6mA"/>
    <hyperlink ref="F491" r:id="rId2" display="https://files.afu.se/Downloads/Transcripts/0%20-%20Government/USA%20-%20NASA%20Kennedy/"/>
    <hyperlink ref="C492" r:id="rId492" display="https://youtu.be/y7r968V7RBE"/>
    <hyperlink ref="F492" r:id="rId2" display="https://files.afu.se/Downloads/Transcripts/0%20-%20Government/USA%20-%20NASA%20Kennedy/"/>
    <hyperlink ref="C493" r:id="rId493" display="https://youtu.be/kY1cZl0bZl4"/>
    <hyperlink ref="F493" r:id="rId2" display="https://files.afu.se/Downloads/Transcripts/0%20-%20Government/USA%20-%20NASA%20Kennedy/"/>
    <hyperlink ref="C494" r:id="rId494" display="https://youtu.be/dlRg2JKCVRo"/>
    <hyperlink ref="F494" r:id="rId2" display="https://files.afu.se/Downloads/Transcripts/0%20-%20Government/USA%20-%20NASA%20Kennedy/"/>
    <hyperlink ref="C495" r:id="rId495" display="https://youtu.be/zrBTu389aqY"/>
    <hyperlink ref="F495" r:id="rId2" display="https://files.afu.se/Downloads/Transcripts/0%20-%20Government/USA%20-%20NASA%20Kennedy/"/>
    <hyperlink ref="C496" r:id="rId496" display="https://youtu.be/u9xzuOgs9-4"/>
    <hyperlink ref="F496" r:id="rId2" display="https://files.afu.se/Downloads/Transcripts/0%20-%20Government/USA%20-%20NASA%20Kennedy/"/>
    <hyperlink ref="C497" r:id="rId497" display="https://youtu.be/RU6QkU8w60c"/>
    <hyperlink ref="F497" r:id="rId2" display="https://files.afu.se/Downloads/Transcripts/0%20-%20Government/USA%20-%20NASA%20Kennedy/"/>
    <hyperlink ref="C498" r:id="rId498" display="https://youtu.be/AWAP4hXe3cY"/>
    <hyperlink ref="F498" r:id="rId2" display="https://files.afu.se/Downloads/Transcripts/0%20-%20Government/USA%20-%20NASA%20Kennedy/"/>
    <hyperlink ref="C499" r:id="rId499" display="https://youtu.be/1dm4WUx7z1A"/>
    <hyperlink ref="F499" r:id="rId2" display="https://files.afu.se/Downloads/Transcripts/0%20-%20Government/USA%20-%20NASA%20Kennedy/"/>
    <hyperlink ref="C500" r:id="rId500" display="https://youtu.be/9IC1Io5xkbc"/>
    <hyperlink ref="F500" r:id="rId2" display="https://files.afu.se/Downloads/Transcripts/0%20-%20Government/USA%20-%20NASA%20Kennedy/"/>
    <hyperlink ref="C501" r:id="rId501" display="https://youtu.be/MMBmXdZgS8E"/>
    <hyperlink ref="F501" r:id="rId2" display="https://files.afu.se/Downloads/Transcripts/0%20-%20Government/USA%20-%20NASA%20Kennedy/"/>
    <hyperlink ref="C502" r:id="rId502" display="https://youtu.be/gvI9KNVd-nU"/>
    <hyperlink ref="F502" r:id="rId2" display="https://files.afu.se/Downloads/Transcripts/0%20-%20Government/USA%20-%20NASA%20Kennedy/"/>
    <hyperlink ref="C503" r:id="rId503" display="https://youtu.be/zhdC4wocAwM"/>
    <hyperlink ref="F503" r:id="rId2" display="https://files.afu.se/Downloads/Transcripts/0%20-%20Government/USA%20-%20NASA%20Kennedy/"/>
    <hyperlink ref="C504" r:id="rId504" display="https://youtu.be/Pm0k8kaAUBo"/>
    <hyperlink ref="F504" r:id="rId2" display="https://files.afu.se/Downloads/Transcripts/0%20-%20Government/USA%20-%20NASA%20Kennedy/"/>
    <hyperlink ref="C505" r:id="rId505" display="https://youtu.be/N2mLnwayX00"/>
    <hyperlink ref="F505" r:id="rId2" display="https://files.afu.se/Downloads/Transcripts/0%20-%20Government/USA%20-%20NASA%20Kennedy/"/>
    <hyperlink ref="C506" r:id="rId506" display="https://youtu.be/z-0M3h_saiA"/>
    <hyperlink ref="F506" r:id="rId2" display="https://files.afu.se/Downloads/Transcripts/0%20-%20Government/USA%20-%20NASA%20Kennedy/"/>
    <hyperlink ref="C507" r:id="rId507" display="https://youtu.be/SQYARopfKX8"/>
    <hyperlink ref="F507" r:id="rId2" display="https://files.afu.se/Downloads/Transcripts/0%20-%20Government/USA%20-%20NASA%20Kennedy/"/>
    <hyperlink ref="C508" r:id="rId508" display="https://youtu.be/JSgNtjoOc4Y"/>
    <hyperlink ref="F508" r:id="rId2" display="https://files.afu.se/Downloads/Transcripts/0%20-%20Government/USA%20-%20NASA%20Kennedy/"/>
    <hyperlink ref="C509" r:id="rId509" display="https://youtu.be/rVqaocXISYY"/>
    <hyperlink ref="F509" r:id="rId2" display="https://files.afu.se/Downloads/Transcripts/0%20-%20Government/USA%20-%20NASA%20Kennedy/"/>
    <hyperlink ref="C510" r:id="rId510" display="https://youtu.be/at1prA_jbtw"/>
    <hyperlink ref="F510" r:id="rId2" display="https://files.afu.se/Downloads/Transcripts/0%20-%20Government/USA%20-%20NASA%20Kennedy/"/>
    <hyperlink ref="C511" r:id="rId511" display="https://youtu.be/tv7feLPTqeU"/>
    <hyperlink ref="F511" r:id="rId2" display="https://files.afu.se/Downloads/Transcripts/0%20-%20Government/USA%20-%20NASA%20Kennedy/"/>
    <hyperlink ref="C512" r:id="rId512" display="https://youtu.be/rfMvVRTxTZI"/>
    <hyperlink ref="F512" r:id="rId2" display="https://files.afu.se/Downloads/Transcripts/0%20-%20Government/USA%20-%20NASA%20Kennedy/"/>
    <hyperlink ref="C513" r:id="rId513" display="https://youtu.be/rItcUiPmh_Q"/>
    <hyperlink ref="F513" r:id="rId2" display="https://files.afu.se/Downloads/Transcripts/0%20-%20Government/USA%20-%20NASA%20Kennedy/"/>
    <hyperlink ref="C514" r:id="rId514" display="https://youtu.be/PFXECernqgk"/>
    <hyperlink ref="F514" r:id="rId2" display="https://files.afu.se/Downloads/Transcripts/0%20-%20Government/USA%20-%20NASA%20Kennedy/"/>
    <hyperlink ref="C515" r:id="rId515" display="https://youtu.be/bKwCf5TRZ4Y"/>
    <hyperlink ref="F515" r:id="rId2" display="https://files.afu.se/Downloads/Transcripts/0%20-%20Government/USA%20-%20NASA%20Kennedy/"/>
    <hyperlink ref="C516" r:id="rId516" display="https://youtu.be/MifM-RIraYI"/>
    <hyperlink ref="F516" r:id="rId2" display="https://files.afu.se/Downloads/Transcripts/0%20-%20Government/USA%20-%20NASA%20Kennedy/"/>
    <hyperlink ref="C517" r:id="rId517" display="https://youtu.be/H9CogxbDncA"/>
    <hyperlink ref="F517" r:id="rId2" display="https://files.afu.se/Downloads/Transcripts/0%20-%20Government/USA%20-%20NASA%20Kennedy/"/>
    <hyperlink ref="C518" r:id="rId518" display="https://youtu.be/kegheqHNmAA"/>
    <hyperlink ref="F518" r:id="rId2" display="https://files.afu.se/Downloads/Transcripts/0%20-%20Government/USA%20-%20NASA%20Kennedy/"/>
    <hyperlink ref="C519" r:id="rId519" display="https://youtu.be/5Y_-O22a8dg"/>
    <hyperlink ref="F519" r:id="rId2" display="https://files.afu.se/Downloads/Transcripts/0%20-%20Government/USA%20-%20NASA%20Kennedy/"/>
    <hyperlink ref="C520" r:id="rId520" display="https://youtu.be/_fSYXzvcm5Y"/>
    <hyperlink ref="F520" r:id="rId2" display="https://files.afu.se/Downloads/Transcripts/0%20-%20Government/USA%20-%20NASA%20Kennedy/"/>
    <hyperlink ref="C521" r:id="rId521" display="https://youtu.be/jCn3hu5XmD0"/>
    <hyperlink ref="F521" r:id="rId2" display="https://files.afu.se/Downloads/Transcripts/0%20-%20Government/USA%20-%20NASA%20Kennedy/"/>
    <hyperlink ref="C522" r:id="rId522" display="https://youtu.be/JM-ufe7ryec"/>
    <hyperlink ref="F522" r:id="rId2" display="https://files.afu.se/Downloads/Transcripts/0%20-%20Government/USA%20-%20NASA%20Kennedy/"/>
    <hyperlink ref="C523" r:id="rId523" display="https://youtu.be/qnGVXoP1tZM"/>
    <hyperlink ref="F523" r:id="rId2" display="https://files.afu.se/Downloads/Transcripts/0%20-%20Government/USA%20-%20NASA%20Kennedy/"/>
    <hyperlink ref="C524" r:id="rId524" display="https://youtu.be/fhNN9NzU014"/>
    <hyperlink ref="F524" r:id="rId2" display="https://files.afu.se/Downloads/Transcripts/0%20-%20Government/USA%20-%20NASA%20Kennedy/"/>
    <hyperlink ref="C525" r:id="rId525" display="https://youtu.be/W-X8x8gavow"/>
    <hyperlink ref="F525" r:id="rId2" display="https://files.afu.se/Downloads/Transcripts/0%20-%20Government/USA%20-%20NASA%20Kennedy/"/>
    <hyperlink ref="C526" r:id="rId526" display="https://youtu.be/UafcXBa5v6s"/>
    <hyperlink ref="F526" r:id="rId2" display="https://files.afu.se/Downloads/Transcripts/0%20-%20Government/USA%20-%20NASA%20Kennedy/"/>
    <hyperlink ref="C527" r:id="rId527" display="https://youtu.be/7_Api3f49LE"/>
    <hyperlink ref="F527" r:id="rId2" display="https://files.afu.se/Downloads/Transcripts/0%20-%20Government/USA%20-%20NASA%20Kennedy/"/>
    <hyperlink ref="C528" r:id="rId528" display="https://youtu.be/9matDigB2w4"/>
    <hyperlink ref="F528" r:id="rId2" display="https://files.afu.se/Downloads/Transcripts/0%20-%20Government/USA%20-%20NASA%20Kennedy/"/>
    <hyperlink ref="C529" r:id="rId529" display="https://youtu.be/fXcgsT6hddM"/>
    <hyperlink ref="F529" r:id="rId2" display="https://files.afu.se/Downloads/Transcripts/0%20-%20Government/USA%20-%20NASA%20Kennedy/"/>
    <hyperlink ref="C530" r:id="rId530" display="https://youtu.be/sji3K7e4GHA"/>
    <hyperlink ref="F530" r:id="rId2" display="https://files.afu.se/Downloads/Transcripts/0%20-%20Government/USA%20-%20NASA%20Kennedy/"/>
    <hyperlink ref="C531" r:id="rId531" display="https://youtu.be/vY8d6vQ6rhY"/>
    <hyperlink ref="F531" r:id="rId2" display="https://files.afu.se/Downloads/Transcripts/0%20-%20Government/USA%20-%20NASA%20Kennedy/"/>
    <hyperlink ref="C532" r:id="rId532" display="https://youtu.be/9rkv4oq53OE"/>
    <hyperlink ref="F532" r:id="rId2" display="https://files.afu.se/Downloads/Transcripts/0%20-%20Government/USA%20-%20NASA%20Kennedy/"/>
    <hyperlink ref="C533" r:id="rId533" display="https://youtu.be/DgpwocZjg7w"/>
    <hyperlink ref="F533" r:id="rId2" display="https://files.afu.se/Downloads/Transcripts/0%20-%20Government/USA%20-%20NASA%20Kennedy/"/>
    <hyperlink ref="C534" r:id="rId534" display="https://youtu.be/NisclMyoAkM"/>
    <hyperlink ref="F534" r:id="rId2" display="https://files.afu.se/Downloads/Transcripts/0%20-%20Government/USA%20-%20NASA%20Kennedy/"/>
    <hyperlink ref="C535" r:id="rId535" display="https://youtu.be/9ybr-x2ldPk"/>
    <hyperlink ref="F535" r:id="rId2" display="https://files.afu.se/Downloads/Transcripts/0%20-%20Government/USA%20-%20NASA%20Kennedy/"/>
    <hyperlink ref="C536" r:id="rId536" display="https://youtu.be/WKLlI3ndF2s"/>
    <hyperlink ref="F536" r:id="rId2" display="https://files.afu.se/Downloads/Transcripts/0%20-%20Government/USA%20-%20NASA%20Kennedy/"/>
    <hyperlink ref="C537" r:id="rId537" display="https://youtu.be/VKQ-6WCbHis"/>
    <hyperlink ref="F537" r:id="rId2" display="https://files.afu.se/Downloads/Transcripts/0%20-%20Government/USA%20-%20NASA%20Kennedy/"/>
    <hyperlink ref="C538" r:id="rId538" display="https://youtu.be/xBSLW0VTr4M"/>
    <hyperlink ref="F538" r:id="rId2" display="https://files.afu.se/Downloads/Transcripts/0%20-%20Government/USA%20-%20NASA%20Kennedy/"/>
    <hyperlink ref="C539" r:id="rId539" display="https://youtu.be/CxLxfaxjq5Y"/>
    <hyperlink ref="F539" r:id="rId2" display="https://files.afu.se/Downloads/Transcripts/0%20-%20Government/USA%20-%20NASA%20Kennedy/"/>
    <hyperlink ref="C540" r:id="rId540" display="https://youtu.be/VONBwpYci64"/>
    <hyperlink ref="F540" r:id="rId2" display="https://files.afu.se/Downloads/Transcripts/0%20-%20Government/USA%20-%20NASA%20Kennedy/"/>
    <hyperlink ref="C541" r:id="rId541" display="https://youtu.be/YKVhjdWitsg"/>
    <hyperlink ref="F541" r:id="rId2" display="https://files.afu.se/Downloads/Transcripts/0%20-%20Government/USA%20-%20NASA%20Kennedy/"/>
    <hyperlink ref="C542" r:id="rId542" display="https://youtu.be/siD4mNuTL-8"/>
    <hyperlink ref="F542" r:id="rId2" display="https://files.afu.se/Downloads/Transcripts/0%20-%20Government/USA%20-%20NASA%20Kennedy/"/>
    <hyperlink ref="C543" r:id="rId543" display="https://youtu.be/U3tNa0sxmu0"/>
    <hyperlink ref="F543" r:id="rId2" display="https://files.afu.se/Downloads/Transcripts/0%20-%20Government/USA%20-%20NASA%20Kennedy/"/>
    <hyperlink ref="C544" r:id="rId544" display="https://youtu.be/ncUelhK7DmI"/>
    <hyperlink ref="F544" r:id="rId2" display="https://files.afu.se/Downloads/Transcripts/0%20-%20Government/USA%20-%20NASA%20Kennedy/"/>
    <hyperlink ref="C545" r:id="rId545" display="https://youtu.be/IxePMPZNUW4"/>
    <hyperlink ref="F545" r:id="rId2" display="https://files.afu.se/Downloads/Transcripts/0%20-%20Government/USA%20-%20NASA%20Kennedy/"/>
    <hyperlink ref="C546" r:id="rId546" display="https://youtu.be/EswMsWT_1YI"/>
    <hyperlink ref="F546" r:id="rId2" display="https://files.afu.se/Downloads/Transcripts/0%20-%20Government/USA%20-%20NASA%20Kennedy/"/>
    <hyperlink ref="C547" r:id="rId547" display="https://youtu.be/R8V40NgJnEs"/>
    <hyperlink ref="F547" r:id="rId2" display="https://files.afu.se/Downloads/Transcripts/0%20-%20Government/USA%20-%20NASA%20Kennedy/"/>
    <hyperlink ref="C548" r:id="rId548" display="https://youtu.be/wBCBThgIBmA"/>
    <hyperlink ref="F548" r:id="rId2" display="https://files.afu.se/Downloads/Transcripts/0%20-%20Government/USA%20-%20NASA%20Kennedy/"/>
    <hyperlink ref="C549" r:id="rId549" display="https://youtu.be/wo-iDcad_LM"/>
    <hyperlink ref="F549" r:id="rId2" display="https://files.afu.se/Downloads/Transcripts/0%20-%20Government/USA%20-%20NASA%20Kennedy/"/>
    <hyperlink ref="C550" r:id="rId550" display="https://youtu.be/3MOtjgFfAo4"/>
    <hyperlink ref="F550" r:id="rId2" display="https://files.afu.se/Downloads/Transcripts/0%20-%20Government/USA%20-%20NASA%20Kennedy/"/>
    <hyperlink ref="C551" r:id="rId551" display="https://youtu.be/412fAEw1NTo"/>
    <hyperlink ref="F551" r:id="rId2" display="https://files.afu.se/Downloads/Transcripts/0%20-%20Government/USA%20-%20NASA%20Kennedy/"/>
    <hyperlink ref="C552" r:id="rId552" display="https://youtu.be/Rb4hNayHd9M"/>
    <hyperlink ref="F552" r:id="rId2" display="https://files.afu.se/Downloads/Transcripts/0%20-%20Government/USA%20-%20NASA%20Kennedy/"/>
    <hyperlink ref="C553" r:id="rId553" display="https://youtu.be/2eZyUuYvBUo"/>
    <hyperlink ref="F553" r:id="rId2" display="https://files.afu.se/Downloads/Transcripts/0%20-%20Government/USA%20-%20NASA%20Kennedy/"/>
    <hyperlink ref="C554" r:id="rId554" display="https://youtu.be/AHJA54Vq4zg"/>
    <hyperlink ref="F554" r:id="rId2" display="https://files.afu.se/Downloads/Transcripts/0%20-%20Government/USA%20-%20NASA%20Kennedy/"/>
    <hyperlink ref="C555" r:id="rId555" display="https://youtu.be/-jcufWFosXM"/>
    <hyperlink ref="F555" r:id="rId2" display="https://files.afu.se/Downloads/Transcripts/0%20-%20Government/USA%20-%20NASA%20Kennedy/"/>
    <hyperlink ref="C556" r:id="rId556" display="https://youtu.be/RKJ806z423g"/>
    <hyperlink ref="F556" r:id="rId2" display="https://files.afu.se/Downloads/Transcripts/0%20-%20Government/USA%20-%20NASA%20Kennedy/"/>
    <hyperlink ref="C557" r:id="rId557" display="https://youtu.be/Zw_mrx016cc"/>
    <hyperlink ref="F557" r:id="rId2" display="https://files.afu.se/Downloads/Transcripts/0%20-%20Government/USA%20-%20NASA%20Kennedy/"/>
    <hyperlink ref="C558" r:id="rId558" display="https://youtu.be/WJEBW7QFgwc"/>
    <hyperlink ref="F558" r:id="rId2" display="https://files.afu.se/Downloads/Transcripts/0%20-%20Government/USA%20-%20NASA%20Kennedy/"/>
    <hyperlink ref="C559" r:id="rId559" display="https://youtu.be/y4jY8rI_vm4"/>
    <hyperlink ref="F559" r:id="rId2" display="https://files.afu.se/Downloads/Transcripts/0%20-%20Government/USA%20-%20NASA%20Kennedy/"/>
    <hyperlink ref="C560" r:id="rId560" display="https://youtu.be/JRQSVXq-F44"/>
    <hyperlink ref="F560" r:id="rId2" display="https://files.afu.se/Downloads/Transcripts/0%20-%20Government/USA%20-%20NASA%20Kennedy/"/>
    <hyperlink ref="C561" r:id="rId561" display="https://youtu.be/FfLIVGxNhxY"/>
    <hyperlink ref="F561" r:id="rId2" display="https://files.afu.se/Downloads/Transcripts/0%20-%20Government/USA%20-%20NASA%20Kennedy/"/>
    <hyperlink ref="C562" r:id="rId562" display="https://youtu.be/od1IyeqcODw"/>
    <hyperlink ref="F562" r:id="rId2" display="https://files.afu.se/Downloads/Transcripts/0%20-%20Government/USA%20-%20NASA%20Kennedy/"/>
    <hyperlink ref="C563" r:id="rId563" display="https://youtu.be/iyudA4h1fo4"/>
    <hyperlink ref="F563" r:id="rId2" display="https://files.afu.se/Downloads/Transcripts/0%20-%20Government/USA%20-%20NASA%20Kennedy/"/>
    <hyperlink ref="C564" r:id="rId564" display="https://youtu.be/Ne9gQVTU8bk"/>
    <hyperlink ref="F564" r:id="rId2" display="https://files.afu.se/Downloads/Transcripts/0%20-%20Government/USA%20-%20NASA%20Kennedy/"/>
    <hyperlink ref="C565" r:id="rId565" display="https://youtu.be/Mz93Mr2pggc"/>
    <hyperlink ref="F565" r:id="rId2" display="https://files.afu.se/Downloads/Transcripts/0%20-%20Government/USA%20-%20NASA%20Kennedy/"/>
    <hyperlink ref="C566" r:id="rId566" display="https://youtu.be/nxClG4fRgeg"/>
    <hyperlink ref="F566" r:id="rId2" display="https://files.afu.se/Downloads/Transcripts/0%20-%20Government/USA%20-%20NASA%20Kennedy/"/>
    <hyperlink ref="C567" r:id="rId567" display="https://youtu.be/8NurvN8IhiA"/>
    <hyperlink ref="F567" r:id="rId2" display="https://files.afu.se/Downloads/Transcripts/0%20-%20Government/USA%20-%20NASA%20Kennedy/"/>
    <hyperlink ref="C568" r:id="rId568" display="https://youtu.be/EbTJ1JZAAXM"/>
    <hyperlink ref="F568" r:id="rId2" display="https://files.afu.se/Downloads/Transcripts/0%20-%20Government/USA%20-%20NASA%20Kennedy/"/>
    <hyperlink ref="C569" r:id="rId569" display="https://youtu.be/4kasNrV773M"/>
    <hyperlink ref="F569" r:id="rId2" display="https://files.afu.se/Downloads/Transcripts/0%20-%20Government/USA%20-%20NASA%20Kennedy/"/>
    <hyperlink ref="C570" r:id="rId570" display="https://youtu.be/nAXkdFcea_g"/>
    <hyperlink ref="F570" r:id="rId2" display="https://files.afu.se/Downloads/Transcripts/0%20-%20Government/USA%20-%20NASA%20Kennedy/"/>
    <hyperlink ref="C571" r:id="rId571" display="https://youtu.be/iduNpPolL_A"/>
    <hyperlink ref="F571" r:id="rId2" display="https://files.afu.se/Downloads/Transcripts/0%20-%20Government/USA%20-%20NASA%20Kennedy/"/>
    <hyperlink ref="C572" r:id="rId572" display="https://youtu.be/gWC9WTQ2Blc"/>
    <hyperlink ref="F572" r:id="rId2" display="https://files.afu.se/Downloads/Transcripts/0%20-%20Government/USA%20-%20NASA%20Kennedy/"/>
    <hyperlink ref="C573" r:id="rId573" display="https://youtu.be/rXiVsNICHQM"/>
    <hyperlink ref="F573" r:id="rId2" display="https://files.afu.se/Downloads/Transcripts/0%20-%20Government/USA%20-%20NASA%20Kennedy/"/>
    <hyperlink ref="C574" r:id="rId574" display="https://youtu.be/BYLt-30a7EU"/>
    <hyperlink ref="F574" r:id="rId2" display="https://files.afu.se/Downloads/Transcripts/0%20-%20Government/USA%20-%20NASA%20Kennedy/"/>
    <hyperlink ref="C575" r:id="rId575" display="https://youtu.be/Oiexrf3N9w0"/>
    <hyperlink ref="F575" r:id="rId2" display="https://files.afu.se/Downloads/Transcripts/0%20-%20Government/USA%20-%20NASA%20Kennedy/"/>
    <hyperlink ref="C576" r:id="rId576" display="https://youtu.be/V2ww2hFTWSg"/>
    <hyperlink ref="F576" r:id="rId2" display="https://files.afu.se/Downloads/Transcripts/0%20-%20Government/USA%20-%20NASA%20Kennedy/"/>
    <hyperlink ref="C577" r:id="rId577" display="https://youtu.be/kCrCrOC1n9s"/>
    <hyperlink ref="F577" r:id="rId2" display="https://files.afu.se/Downloads/Transcripts/0%20-%20Government/USA%20-%20NASA%20Kennedy/"/>
    <hyperlink ref="C578" r:id="rId578" display="https://youtu.be/zxnGaPBHXRA"/>
    <hyperlink ref="F578" r:id="rId2" display="https://files.afu.se/Downloads/Transcripts/0%20-%20Government/USA%20-%20NASA%20Kennedy/"/>
    <hyperlink ref="C579" r:id="rId579" display="https://youtu.be/q8vpU7ebtnI"/>
    <hyperlink ref="F579" r:id="rId2" display="https://files.afu.se/Downloads/Transcripts/0%20-%20Government/USA%20-%20NASA%20Kennedy/"/>
    <hyperlink ref="C580" r:id="rId580" display="https://youtu.be/z_xz-hPNYxk"/>
    <hyperlink ref="F580" r:id="rId2" display="https://files.afu.se/Downloads/Transcripts/0%20-%20Government/USA%20-%20NASA%20Kennedy/"/>
    <hyperlink ref="C581" r:id="rId581" display="https://youtu.be/RdWPclPyzis"/>
    <hyperlink ref="F581" r:id="rId2" display="https://files.afu.se/Downloads/Transcripts/0%20-%20Government/USA%20-%20NASA%20Kennedy/"/>
    <hyperlink ref="C582" r:id="rId582" display="https://youtu.be/kNnVgnQ4zbw"/>
    <hyperlink ref="F582" r:id="rId2" display="https://files.afu.se/Downloads/Transcripts/0%20-%20Government/USA%20-%20NASA%20Kennedy/"/>
    <hyperlink ref="C583" r:id="rId583" display="https://youtu.be/cRLKotcyOKA"/>
    <hyperlink ref="F583" r:id="rId2" display="https://files.afu.se/Downloads/Transcripts/0%20-%20Government/USA%20-%20NASA%20Kennedy/"/>
    <hyperlink ref="C584" r:id="rId584" display="https://youtu.be/fQskhJ5_aRg"/>
    <hyperlink ref="F584" r:id="rId2" display="https://files.afu.se/Downloads/Transcripts/0%20-%20Government/USA%20-%20NASA%20Kennedy/"/>
    <hyperlink ref="C585" r:id="rId585" display="https://youtu.be/B6Q_OXef1Qc"/>
    <hyperlink ref="F585" r:id="rId2" display="https://files.afu.se/Downloads/Transcripts/0%20-%20Government/USA%20-%20NASA%20Kennedy/"/>
    <hyperlink ref="C586" r:id="rId586" display="https://youtu.be/dJB9v4cjBLU"/>
    <hyperlink ref="F586" r:id="rId2" display="https://files.afu.se/Downloads/Transcripts/0%20-%20Government/USA%20-%20NASA%20Kennedy/"/>
    <hyperlink ref="C587" r:id="rId587" display="https://youtu.be/IEMusBb6x6A"/>
    <hyperlink ref="F587" r:id="rId2" display="https://files.afu.se/Downloads/Transcripts/0%20-%20Government/USA%20-%20NASA%20Kennedy/"/>
    <hyperlink ref="C588" r:id="rId588" display="https://youtu.be/rhBSaWJyLoA"/>
    <hyperlink ref="F588" r:id="rId2" display="https://files.afu.se/Downloads/Transcripts/0%20-%20Government/USA%20-%20NASA%20Kennedy/"/>
    <hyperlink ref="C589" r:id="rId589" display="https://youtu.be/i3FXDgt56Yo"/>
    <hyperlink ref="F589" r:id="rId2" display="https://files.afu.se/Downloads/Transcripts/0%20-%20Government/USA%20-%20NASA%20Kennedy/"/>
    <hyperlink ref="C590" r:id="rId590" display="https://youtu.be/C2dZs0gTyJ4"/>
    <hyperlink ref="F590" r:id="rId2" display="https://files.afu.se/Downloads/Transcripts/0%20-%20Government/USA%20-%20NASA%20Kennedy/"/>
    <hyperlink ref="C591" r:id="rId591" display="https://youtu.be/UVnrb_Z2Wnk"/>
    <hyperlink ref="F591" r:id="rId2" display="https://files.afu.se/Downloads/Transcripts/0%20-%20Government/USA%20-%20NASA%20Kennedy/"/>
    <hyperlink ref="C592" r:id="rId592" display="https://youtu.be/xX86z9ESsbU"/>
    <hyperlink ref="F592" r:id="rId2" display="https://files.afu.se/Downloads/Transcripts/0%20-%20Government/USA%20-%20NASA%20Kennedy/"/>
    <hyperlink ref="C593" r:id="rId593" display="https://youtu.be/d3haTESabYI"/>
    <hyperlink ref="F593" r:id="rId2" display="https://files.afu.se/Downloads/Transcripts/0%20-%20Government/USA%20-%20NASA%20Kennedy/"/>
    <hyperlink ref="C594" r:id="rId594" display="https://youtu.be/HICi-1pNWl4"/>
    <hyperlink ref="F594" r:id="rId2" display="https://files.afu.se/Downloads/Transcripts/0%20-%20Government/USA%20-%20NASA%20Kennedy/"/>
    <hyperlink ref="C595" r:id="rId595" display="https://youtu.be/thuW1S1MN8k"/>
    <hyperlink ref="F595" r:id="rId2" display="https://files.afu.se/Downloads/Transcripts/0%20-%20Government/USA%20-%20NASA%20Kennedy/"/>
    <hyperlink ref="C596" r:id="rId596" display="https://youtu.be/NUvYpi-3riY"/>
    <hyperlink ref="F596" r:id="rId2" display="https://files.afu.se/Downloads/Transcripts/0%20-%20Government/USA%20-%20NASA%20Kennedy/"/>
    <hyperlink ref="C597" r:id="rId597" display="https://youtu.be/w-AXR0PZ9FA"/>
    <hyperlink ref="F597" r:id="rId2" display="https://files.afu.se/Downloads/Transcripts/0%20-%20Government/USA%20-%20NASA%20Kennedy/"/>
    <hyperlink ref="C598" r:id="rId598" display="https://youtu.be/b_pdFAGov1k"/>
    <hyperlink ref="F598" r:id="rId2" display="https://files.afu.se/Downloads/Transcripts/0%20-%20Government/USA%20-%20NASA%20Kennedy/"/>
    <hyperlink ref="C599" r:id="rId599" display="https://youtu.be/xZybdTO4vhQ"/>
    <hyperlink ref="F599" r:id="rId2" display="https://files.afu.se/Downloads/Transcripts/0%20-%20Government/USA%20-%20NASA%20Kennedy/"/>
    <hyperlink ref="C600" r:id="rId600" display="https://youtu.be/EzOHR-ZxJFM"/>
    <hyperlink ref="F600" r:id="rId2" display="https://files.afu.se/Downloads/Transcripts/0%20-%20Government/USA%20-%20NASA%20Kennedy/"/>
    <hyperlink ref="C601" r:id="rId601" display="https://youtu.be/a6XtN8xJu4c"/>
    <hyperlink ref="F601" r:id="rId2" display="https://files.afu.se/Downloads/Transcripts/0%20-%20Government/USA%20-%20NASA%20Kennedy/"/>
    <hyperlink ref="C602" r:id="rId602" display="https://youtu.be/VRZnHlNupAs"/>
    <hyperlink ref="F602" r:id="rId2" display="https://files.afu.se/Downloads/Transcripts/0%20-%20Government/USA%20-%20NASA%20Kennedy/"/>
    <hyperlink ref="C603" r:id="rId603" display="https://youtu.be/mbezAsKXhP4"/>
    <hyperlink ref="F603" r:id="rId2" display="https://files.afu.se/Downloads/Transcripts/0%20-%20Government/USA%20-%20NASA%20Kennedy/"/>
    <hyperlink ref="C604" r:id="rId604" display="https://youtu.be/evmi8moXA1w"/>
    <hyperlink ref="F604" r:id="rId2" display="https://files.afu.se/Downloads/Transcripts/0%20-%20Government/USA%20-%20NASA%20Kennedy/"/>
    <hyperlink ref="C605" r:id="rId605" display="https://youtu.be/cZo_YJIvQY0"/>
    <hyperlink ref="F605" r:id="rId2" display="https://files.afu.se/Downloads/Transcripts/0%20-%20Government/USA%20-%20NASA%20Kennedy/"/>
    <hyperlink ref="C606" r:id="rId606" display="https://youtu.be/s7pfiopx-mk"/>
    <hyperlink ref="F606" r:id="rId2" display="https://files.afu.se/Downloads/Transcripts/0%20-%20Government/USA%20-%20NASA%20Kennedy/"/>
    <hyperlink ref="C607" r:id="rId607" display="https://youtu.be/i4qrkeoJzzo"/>
    <hyperlink ref="F607" r:id="rId2" display="https://files.afu.se/Downloads/Transcripts/0%20-%20Government/USA%20-%20NASA%20Kennedy/"/>
    <hyperlink ref="C608" r:id="rId608" display="https://youtu.be/CeODP0cZlKI"/>
    <hyperlink ref="F608" r:id="rId2" display="https://files.afu.se/Downloads/Transcripts/0%20-%20Government/USA%20-%20NASA%20Kennedy/"/>
    <hyperlink ref="C609" r:id="rId609" display="https://youtu.be/jLGQRnZXBl8"/>
    <hyperlink ref="F609" r:id="rId2" display="https://files.afu.se/Downloads/Transcripts/0%20-%20Government/USA%20-%20NASA%20Kennedy/"/>
    <hyperlink ref="C610" r:id="rId610" display="https://youtu.be/RRsQsOcKy0Y"/>
    <hyperlink ref="F610" r:id="rId2" display="https://files.afu.se/Downloads/Transcripts/0%20-%20Government/USA%20-%20NASA%20Kennedy/"/>
    <hyperlink ref="C611" r:id="rId611" display="https://youtu.be/6Fj-EjeNuK4"/>
    <hyperlink ref="F611" r:id="rId2" display="https://files.afu.se/Downloads/Transcripts/0%20-%20Government/USA%20-%20NASA%20Kennedy/"/>
    <hyperlink ref="C612" r:id="rId612" display="https://youtu.be/F96URIjEiXU"/>
    <hyperlink ref="F612" r:id="rId2" display="https://files.afu.se/Downloads/Transcripts/0%20-%20Government/USA%20-%20NASA%20Kennedy/"/>
    <hyperlink ref="C613" r:id="rId613" display="https://youtu.be/VNuoOK4bBVg"/>
    <hyperlink ref="F613" r:id="rId2" display="https://files.afu.se/Downloads/Transcripts/0%20-%20Government/USA%20-%20NASA%20Kennedy/"/>
    <hyperlink ref="C614" r:id="rId614" display="https://youtu.be/A_CzxCGM5mU"/>
    <hyperlink ref="F614" r:id="rId2" display="https://files.afu.se/Downloads/Transcripts/0%20-%20Government/USA%20-%20NASA%20Kennedy/"/>
    <hyperlink ref="C615" r:id="rId615" display="https://youtu.be/3UZa1RvOVFU"/>
    <hyperlink ref="F615" r:id="rId2" display="https://files.afu.se/Downloads/Transcripts/0%20-%20Government/USA%20-%20NASA%20Kennedy/"/>
    <hyperlink ref="C616" r:id="rId616" display="https://youtu.be/Y5LXs9AfF9g"/>
    <hyperlink ref="F616" r:id="rId2" display="https://files.afu.se/Downloads/Transcripts/0%20-%20Government/USA%20-%20NASA%20Kennedy/"/>
    <hyperlink ref="C617" r:id="rId617" display="https://youtu.be/-z08EcIFWns"/>
    <hyperlink ref="F617" r:id="rId2" display="https://files.afu.se/Downloads/Transcripts/0%20-%20Government/USA%20-%20NASA%20Kennedy/"/>
    <hyperlink ref="C618" r:id="rId618" display="https://youtu.be/QHpp7nfoECg"/>
    <hyperlink ref="F618" r:id="rId2" display="https://files.afu.se/Downloads/Transcripts/0%20-%20Government/USA%20-%20NASA%20Kennedy/"/>
    <hyperlink ref="C619" r:id="rId619" display="https://youtu.be/gwRYz2Np1DU"/>
    <hyperlink ref="F619" r:id="rId2" display="https://files.afu.se/Downloads/Transcripts/0%20-%20Government/USA%20-%20NASA%20Kennedy/"/>
    <hyperlink ref="C620" r:id="rId620" display="https://youtu.be/8KvF56EAP1I"/>
    <hyperlink ref="F620" r:id="rId2" display="https://files.afu.se/Downloads/Transcripts/0%20-%20Government/USA%20-%20NASA%20Kennedy/"/>
    <hyperlink ref="C621" r:id="rId621" display="https://youtu.be/o73TwIUKpPY"/>
    <hyperlink ref="F621" r:id="rId2" display="https://files.afu.se/Downloads/Transcripts/0%20-%20Government/USA%20-%20NASA%20Kennedy/"/>
    <hyperlink ref="C622" r:id="rId622" display="https://youtu.be/2XrSFTwWRHQ"/>
    <hyperlink ref="F622" r:id="rId2" display="https://files.afu.se/Downloads/Transcripts/0%20-%20Government/USA%20-%20NASA%20Kennedy/"/>
    <hyperlink ref="C623" r:id="rId623" display="https://youtu.be/7_aSiC60I6c"/>
    <hyperlink ref="F623" r:id="rId2" display="https://files.afu.se/Downloads/Transcripts/0%20-%20Government/USA%20-%20NASA%20Kennedy/"/>
    <hyperlink ref="C624" r:id="rId624" display="https://youtu.be/2C525utItf8"/>
    <hyperlink ref="F624" r:id="rId2" display="https://files.afu.se/Downloads/Transcripts/0%20-%20Government/USA%20-%20NASA%20Kennedy/"/>
    <hyperlink ref="C625" r:id="rId625" display="https://youtu.be/wh4UB6jEZzs"/>
    <hyperlink ref="F625" r:id="rId2" display="https://files.afu.se/Downloads/Transcripts/0%20-%20Government/USA%20-%20NASA%20Kennedy/"/>
    <hyperlink ref="C626" r:id="rId626" display="https://youtu.be/Tl5dE44vbsM"/>
    <hyperlink ref="F626" r:id="rId2" display="https://files.afu.se/Downloads/Transcripts/0%20-%20Government/USA%20-%20NASA%20Kennedy/"/>
    <hyperlink ref="C627" r:id="rId627" display="https://youtu.be/EiV2fiFhmf4"/>
    <hyperlink ref="F627" r:id="rId2" display="https://files.afu.se/Downloads/Transcripts/0%20-%20Government/USA%20-%20NASA%20Kennedy/"/>
    <hyperlink ref="C628" r:id="rId628" display="https://youtu.be/DATel9n1oM4"/>
    <hyperlink ref="F628" r:id="rId2" display="https://files.afu.se/Downloads/Transcripts/0%20-%20Government/USA%20-%20NASA%20Kennedy/"/>
    <hyperlink ref="C629" r:id="rId629" display="https://youtu.be/aPMn_C70VM0"/>
    <hyperlink ref="F629" r:id="rId2" display="https://files.afu.se/Downloads/Transcripts/0%20-%20Government/USA%20-%20NASA%20Kennedy/"/>
    <hyperlink ref="C630" r:id="rId630" display="https://youtu.be/lDcqMK7S4y0"/>
    <hyperlink ref="F630" r:id="rId2" display="https://files.afu.se/Downloads/Transcripts/0%20-%20Government/USA%20-%20NASA%20Kennedy/"/>
    <hyperlink ref="C631" r:id="rId631" display="https://youtu.be/5e_TNLem-DU"/>
    <hyperlink ref="F631" r:id="rId2" display="https://files.afu.se/Downloads/Transcripts/0%20-%20Government/USA%20-%20NASA%20Kennedy/"/>
    <hyperlink ref="C632" r:id="rId632" display="https://youtu.be/3WDhh4XLyng"/>
    <hyperlink ref="F632" r:id="rId2" display="https://files.afu.se/Downloads/Transcripts/0%20-%20Government/USA%20-%20NASA%20Kennedy/"/>
    <hyperlink ref="C633" r:id="rId633" display="https://youtu.be/4boOJo3H5HE"/>
    <hyperlink ref="F633" r:id="rId2" display="https://files.afu.se/Downloads/Transcripts/0%20-%20Government/USA%20-%20NASA%20Kennedy/"/>
    <hyperlink ref="C634" r:id="rId634" display="https://youtu.be/6a2lLmtxDYA"/>
    <hyperlink ref="F634" r:id="rId2" display="https://files.afu.se/Downloads/Transcripts/0%20-%20Government/USA%20-%20NASA%20Kennedy/"/>
    <hyperlink ref="C635" r:id="rId635" display="https://youtu.be/bTRa1JuwFSw"/>
    <hyperlink ref="F635" r:id="rId2" display="https://files.afu.se/Downloads/Transcripts/0%20-%20Government/USA%20-%20NASA%20Kennedy/"/>
    <hyperlink ref="C636" r:id="rId636" display="https://youtu.be/jAu3_ad7GtI"/>
    <hyperlink ref="F636" r:id="rId2" display="https://files.afu.se/Downloads/Transcripts/0%20-%20Government/USA%20-%20NASA%20Kennedy/"/>
    <hyperlink ref="C637" r:id="rId637" display="https://youtu.be/pUBZPIg5nj0"/>
    <hyperlink ref="F637" r:id="rId2" display="https://files.afu.se/Downloads/Transcripts/0%20-%20Government/USA%20-%20NASA%20Kennedy/"/>
    <hyperlink ref="C638" r:id="rId638" display="https://youtu.be/-RLRf83T4Mo"/>
    <hyperlink ref="F638" r:id="rId2" display="https://files.afu.se/Downloads/Transcripts/0%20-%20Government/USA%20-%20NASA%20Kennedy/"/>
    <hyperlink ref="C639" r:id="rId639" display="https://youtu.be/zh5W5cEp_hQ"/>
    <hyperlink ref="F639" r:id="rId2" display="https://files.afu.se/Downloads/Transcripts/0%20-%20Government/USA%20-%20NASA%20Kennedy/"/>
    <hyperlink ref="C640" r:id="rId640" display="https://youtu.be/3qW9q3rEK6M"/>
    <hyperlink ref="F640" r:id="rId2" display="https://files.afu.se/Downloads/Transcripts/0%20-%20Government/USA%20-%20NASA%20Kennedy/"/>
    <hyperlink ref="C641" r:id="rId641" display="https://youtu.be/DrJpVeTs5jM"/>
    <hyperlink ref="F641" r:id="rId2" display="https://files.afu.se/Downloads/Transcripts/0%20-%20Government/USA%20-%20NASA%20Kennedy/"/>
    <hyperlink ref="C642" r:id="rId642" display="https://youtu.be/WCIX1jGvt98"/>
    <hyperlink ref="F642" r:id="rId2" display="https://files.afu.se/Downloads/Transcripts/0%20-%20Government/USA%20-%20NASA%20Kennedy/"/>
    <hyperlink ref="C643" r:id="rId643" display="https://youtu.be/FKF1D8BFzKU"/>
    <hyperlink ref="F643" r:id="rId2" display="https://files.afu.se/Downloads/Transcripts/0%20-%20Government/USA%20-%20NASA%20Kennedy/"/>
    <hyperlink ref="C644" r:id="rId644" display="https://youtu.be/fRwj7InhQlI"/>
    <hyperlink ref="F644" r:id="rId2" display="https://files.afu.se/Downloads/Transcripts/0%20-%20Government/USA%20-%20NASA%20Kennedy/"/>
    <hyperlink ref="C645" r:id="rId645" display="https://youtu.be/4w8NGn6xZiw"/>
    <hyperlink ref="F645" r:id="rId2" display="https://files.afu.se/Downloads/Transcripts/0%20-%20Government/USA%20-%20NASA%20Kennedy/"/>
    <hyperlink ref="C646" r:id="rId646" display="https://youtu.be/STfb-vYwCkM"/>
    <hyperlink ref="F646" r:id="rId2" display="https://files.afu.se/Downloads/Transcripts/0%20-%20Government/USA%20-%20NASA%20Kennedy/"/>
    <hyperlink ref="C647" r:id="rId647" display="https://youtu.be/_Qienunq0dk"/>
    <hyperlink ref="F647" r:id="rId2" display="https://files.afu.se/Downloads/Transcripts/0%20-%20Government/USA%20-%20NASA%20Kennedy/"/>
    <hyperlink ref="C648" r:id="rId648" display="https://youtu.be/bct3VIhqLYw"/>
    <hyperlink ref="F648" r:id="rId2" display="https://files.afu.se/Downloads/Transcripts/0%20-%20Government/USA%20-%20NASA%20Kennedy/"/>
    <hyperlink ref="C649" r:id="rId649" display="https://youtu.be/K0iN5Ac46iw"/>
    <hyperlink ref="F649" r:id="rId2" display="https://files.afu.se/Downloads/Transcripts/0%20-%20Government/USA%20-%20NASA%20Kennedy/"/>
    <hyperlink ref="C650" r:id="rId650" display="https://youtu.be/hZFWwMILyF8"/>
    <hyperlink ref="F650" r:id="rId2" display="https://files.afu.se/Downloads/Transcripts/0%20-%20Government/USA%20-%20NASA%20Kennedy/"/>
    <hyperlink ref="C651" r:id="rId651" display="https://youtu.be/L-Vm7Vt-F0Q"/>
    <hyperlink ref="F651" r:id="rId2" display="https://files.afu.se/Downloads/Transcripts/0%20-%20Government/USA%20-%20NASA%20Kennedy/"/>
    <hyperlink ref="C652" r:id="rId652" display="https://youtu.be/6X7x2jvGeYc"/>
    <hyperlink ref="F652" r:id="rId2" display="https://files.afu.se/Downloads/Transcripts/0%20-%20Government/USA%20-%20NASA%20Kennedy/"/>
    <hyperlink ref="C653" r:id="rId653" display="https://youtu.be/wwiD0MT_M70"/>
    <hyperlink ref="F653" r:id="rId2" display="https://files.afu.se/Downloads/Transcripts/0%20-%20Government/USA%20-%20NASA%20Kennedy/"/>
    <hyperlink ref="C654" r:id="rId654" display="https://youtu.be/Wy1NkpdEXHo"/>
    <hyperlink ref="F654" r:id="rId2" display="https://files.afu.se/Downloads/Transcripts/0%20-%20Government/USA%20-%20NASA%20Kennedy/"/>
    <hyperlink ref="C655" r:id="rId655" display="https://youtu.be/HareXOAtaZo"/>
    <hyperlink ref="F655" r:id="rId2" display="https://files.afu.se/Downloads/Transcripts/0%20-%20Government/USA%20-%20NASA%20Kennedy/"/>
    <hyperlink ref="C656" r:id="rId656" display="https://youtu.be/V9MxDez33po"/>
    <hyperlink ref="F656" r:id="rId2" display="https://files.afu.se/Downloads/Transcripts/0%20-%20Government/USA%20-%20NASA%20Kennedy/"/>
    <hyperlink ref="C657" r:id="rId657" display="https://youtu.be/gU7KpkVLZ_g"/>
    <hyperlink ref="F657" r:id="rId2" display="https://files.afu.se/Downloads/Transcripts/0%20-%20Government/USA%20-%20NASA%20Kennedy/"/>
    <hyperlink ref="C658" r:id="rId658" display="https://youtu.be/tQimE2eXzXo"/>
    <hyperlink ref="F658" r:id="rId2" display="https://files.afu.se/Downloads/Transcripts/0%20-%20Government/USA%20-%20NASA%20Kennedy/"/>
    <hyperlink ref="C659" r:id="rId659" display="https://youtu.be/aO3Mhd2Ncyk"/>
    <hyperlink ref="F659" r:id="rId2" display="https://files.afu.se/Downloads/Transcripts/0%20-%20Government/USA%20-%20NASA%20Kennedy/"/>
    <hyperlink ref="C660" r:id="rId660" display="https://youtu.be/KpTYjvqh2Do"/>
    <hyperlink ref="F660" r:id="rId2" display="https://files.afu.se/Downloads/Transcripts/0%20-%20Government/USA%20-%20NASA%20Kennedy/"/>
    <hyperlink ref="C661" r:id="rId661" display="https://youtu.be/-w2PzJFoFFY"/>
    <hyperlink ref="F661" r:id="rId2" display="https://files.afu.se/Downloads/Transcripts/0%20-%20Government/USA%20-%20NASA%20Kennedy/"/>
    <hyperlink ref="C662" r:id="rId662" display="https://youtu.be/tGxVZSjNPls"/>
    <hyperlink ref="F662" r:id="rId2" display="https://files.afu.se/Downloads/Transcripts/0%20-%20Government/USA%20-%20NASA%20Kennedy/"/>
    <hyperlink ref="C663" r:id="rId663" display="https://youtu.be/wP78v3vXqQE"/>
    <hyperlink ref="F663" r:id="rId2" display="https://files.afu.se/Downloads/Transcripts/0%20-%20Government/USA%20-%20NASA%20Kennedy/"/>
    <hyperlink ref="C664" r:id="rId664" display="https://youtu.be/H_Mv-kKDi6s"/>
    <hyperlink ref="F664" r:id="rId2" display="https://files.afu.se/Downloads/Transcripts/0%20-%20Government/USA%20-%20NASA%20Kennedy/"/>
    <hyperlink ref="C665" r:id="rId665" display="https://youtu.be/4zbQAZpeP58"/>
    <hyperlink ref="F665" r:id="rId2" display="https://files.afu.se/Downloads/Transcripts/0%20-%20Government/USA%20-%20NASA%20Kennedy/"/>
    <hyperlink ref="C666" r:id="rId666" display="https://youtu.be/HpQXV7gXjYU"/>
    <hyperlink ref="F666" r:id="rId2" display="https://files.afu.se/Downloads/Transcripts/0%20-%20Government/USA%20-%20NASA%20Kennedy/"/>
    <hyperlink ref="C667" r:id="rId667" display="https://youtu.be/BLJBVkLVGHE"/>
    <hyperlink ref="F667" r:id="rId2" display="https://files.afu.se/Downloads/Transcripts/0%20-%20Government/USA%20-%20NASA%20Kennedy/"/>
    <hyperlink ref="C668" r:id="rId668" display="https://youtu.be/pnRdIyIWI0k"/>
    <hyperlink ref="F668" r:id="rId2" display="https://files.afu.se/Downloads/Transcripts/0%20-%20Government/USA%20-%20NASA%20Kennedy/"/>
    <hyperlink ref="C669" r:id="rId669" display="https://youtu.be/HZMiJ_Q47qk"/>
    <hyperlink ref="F669" r:id="rId2" display="https://files.afu.se/Downloads/Transcripts/0%20-%20Government/USA%20-%20NASA%20Kennedy/"/>
    <hyperlink ref="C670" r:id="rId670" display="https://youtu.be/QEwLE3An32Q"/>
    <hyperlink ref="F670" r:id="rId2" display="https://files.afu.se/Downloads/Transcripts/0%20-%20Government/USA%20-%20NASA%20Kennedy/"/>
    <hyperlink ref="C671" r:id="rId671" display="https://youtu.be/TY_qZ0jc5Mw"/>
    <hyperlink ref="F671" r:id="rId2" display="https://files.afu.se/Downloads/Transcripts/0%20-%20Government/USA%20-%20NASA%20Kennedy/"/>
    <hyperlink ref="C672" r:id="rId672" display="https://youtu.be/gAMANsAqU4I"/>
    <hyperlink ref="F672" r:id="rId2" display="https://files.afu.se/Downloads/Transcripts/0%20-%20Government/USA%20-%20NASA%20Kennedy/"/>
    <hyperlink ref="C673" r:id="rId673" display="https://youtu.be/UPU7dVe-3fU"/>
    <hyperlink ref="F673" r:id="rId2" display="https://files.afu.se/Downloads/Transcripts/0%20-%20Government/USA%20-%20NASA%20Kennedy/"/>
    <hyperlink ref="C674" r:id="rId674" display="https://youtu.be/1KWi3MLvbZ8"/>
    <hyperlink ref="F674" r:id="rId2" display="https://files.afu.se/Downloads/Transcripts/0%20-%20Government/USA%20-%20NASA%20Kennedy/"/>
    <hyperlink ref="C675" r:id="rId675" display="https://youtu.be/4SSZTpxrEOA"/>
    <hyperlink ref="F675" r:id="rId2" display="https://files.afu.se/Downloads/Transcripts/0%20-%20Government/USA%20-%20NASA%20Kennedy/"/>
    <hyperlink ref="C676" r:id="rId676" display="https://youtu.be/sJzpIZV0Kcw"/>
    <hyperlink ref="F676" r:id="rId2" display="https://files.afu.se/Downloads/Transcripts/0%20-%20Government/USA%20-%20NASA%20Kennedy/"/>
    <hyperlink ref="C677" r:id="rId677" display="https://youtu.be/VJlNJxc1lTY"/>
    <hyperlink ref="F677" r:id="rId2" display="https://files.afu.se/Downloads/Transcripts/0%20-%20Government/USA%20-%20NASA%20Kennedy/"/>
    <hyperlink ref="C678" r:id="rId678" display="https://youtu.be/xfBMfrLjZVs"/>
    <hyperlink ref="F678" r:id="rId2" display="https://files.afu.se/Downloads/Transcripts/0%20-%20Government/USA%20-%20NASA%20Kennedy/"/>
    <hyperlink ref="C679" r:id="rId679" display="https://youtu.be/zrz16s2ajDE"/>
    <hyperlink ref="F679" r:id="rId2" display="https://files.afu.se/Downloads/Transcripts/0%20-%20Government/USA%20-%20NASA%20Kennedy/"/>
    <hyperlink ref="C680" r:id="rId680" display="https://youtu.be/3e0-pS19PXM"/>
    <hyperlink ref="F680" r:id="rId2" display="https://files.afu.se/Downloads/Transcripts/0%20-%20Government/USA%20-%20NASA%20Kennedy/"/>
    <hyperlink ref="C681" r:id="rId681" display="https://youtu.be/vgYBGSEDNHk"/>
    <hyperlink ref="F681" r:id="rId2" display="https://files.afu.se/Downloads/Transcripts/0%20-%20Government/USA%20-%20NASA%20Kennedy/"/>
    <hyperlink ref="C682" r:id="rId682" display="https://youtu.be/mzEloqzys3Y"/>
    <hyperlink ref="F682" r:id="rId2" display="https://files.afu.se/Downloads/Transcripts/0%20-%20Government/USA%20-%20NASA%20Kennedy/"/>
    <hyperlink ref="C683" r:id="rId683" display="https://youtu.be/eS3sNVT7IKo"/>
    <hyperlink ref="F683" r:id="rId2" display="https://files.afu.se/Downloads/Transcripts/0%20-%20Government/USA%20-%20NASA%20Kennedy/"/>
    <hyperlink ref="C684" r:id="rId684" display="https://youtu.be/mMu3SG8_Zjc"/>
    <hyperlink ref="F684" r:id="rId2" display="https://files.afu.se/Downloads/Transcripts/0%20-%20Government/USA%20-%20NASA%20Kennedy/"/>
    <hyperlink ref="C685" r:id="rId685" display="https://youtu.be/7JCEyyDmiPw"/>
    <hyperlink ref="F685" r:id="rId2" display="https://files.afu.se/Downloads/Transcripts/0%20-%20Government/USA%20-%20NASA%20Kennedy/"/>
    <hyperlink ref="C686" r:id="rId686" display="https://youtu.be/iANQC6i1m14"/>
    <hyperlink ref="F686" r:id="rId2" display="https://files.afu.se/Downloads/Transcripts/0%20-%20Government/USA%20-%20NASA%20Kennedy/"/>
    <hyperlink ref="C687" r:id="rId687" display="https://youtu.be/rbfVMiNMTFE"/>
    <hyperlink ref="F687" r:id="rId2" display="https://files.afu.se/Downloads/Transcripts/0%20-%20Government/USA%20-%20NASA%20Kennedy/"/>
    <hyperlink ref="C688" r:id="rId688" display="https://youtu.be/IJjGUd5VG84"/>
    <hyperlink ref="F688" r:id="rId2" display="https://files.afu.se/Downloads/Transcripts/0%20-%20Government/USA%20-%20NASA%20Kennedy/"/>
    <hyperlink ref="C689" r:id="rId689" display="https://youtu.be/a-DaDOWwB-Y"/>
    <hyperlink ref="F689" r:id="rId2" display="https://files.afu.se/Downloads/Transcripts/0%20-%20Government/USA%20-%20NASA%20Kennedy/"/>
    <hyperlink ref="C690" r:id="rId690" display="https://youtu.be/-Stl3hKI9Io"/>
    <hyperlink ref="F690" r:id="rId2" display="https://files.afu.se/Downloads/Transcripts/0%20-%20Government/USA%20-%20NASA%20Kennedy/"/>
    <hyperlink ref="C691" r:id="rId691" display="https://youtu.be/05xdq6W9kRs"/>
    <hyperlink ref="F691" r:id="rId2" display="https://files.afu.se/Downloads/Transcripts/0%20-%20Government/USA%20-%20NASA%20Kennedy/"/>
    <hyperlink ref="C692" r:id="rId692" display="https://youtu.be/zgPXkPps59w"/>
    <hyperlink ref="F692" r:id="rId2" display="https://files.afu.se/Downloads/Transcripts/0%20-%20Government/USA%20-%20NASA%20Kennedy/"/>
    <hyperlink ref="C693" r:id="rId693" display="https://youtu.be/lOSsx8ukYs0"/>
    <hyperlink ref="F693" r:id="rId2" display="https://files.afu.se/Downloads/Transcripts/0%20-%20Government/USA%20-%20NASA%20Kennedy/"/>
    <hyperlink ref="C694" r:id="rId694" display="https://youtu.be/Vcp-uR562BM"/>
    <hyperlink ref="F694" r:id="rId2" display="https://files.afu.se/Downloads/Transcripts/0%20-%20Government/USA%20-%20NASA%20Kennedy/"/>
    <hyperlink ref="C695" r:id="rId695" display="https://youtu.be/lIYzjYnKLmk"/>
    <hyperlink ref="F695" r:id="rId2" display="https://files.afu.se/Downloads/Transcripts/0%20-%20Government/USA%20-%20NASA%20Kennedy/"/>
    <hyperlink ref="C696" r:id="rId696" display="https://youtu.be/VVyNQXWxH24"/>
    <hyperlink ref="F696" r:id="rId2" display="https://files.afu.se/Downloads/Transcripts/0%20-%20Government/USA%20-%20NASA%20Kennedy/"/>
    <hyperlink ref="C697" r:id="rId697" display="https://youtu.be/Duc8FoGhInQ"/>
    <hyperlink ref="F697" r:id="rId2" display="https://files.afu.se/Downloads/Transcripts/0%20-%20Government/USA%20-%20NASA%20Kennedy/"/>
    <hyperlink ref="C698" r:id="rId698" display="https://youtu.be/DA6C11qtKi8"/>
    <hyperlink ref="F698" r:id="rId2" display="https://files.afu.se/Downloads/Transcripts/0%20-%20Government/USA%20-%20NASA%20Kennedy/"/>
    <hyperlink ref="C699" r:id="rId699" display="https://youtu.be/P9qhLDGC3DQ"/>
    <hyperlink ref="F699" r:id="rId2" display="https://files.afu.se/Downloads/Transcripts/0%20-%20Government/USA%20-%20NASA%20Kennedy/"/>
    <hyperlink ref="C700" r:id="rId700" display="https://youtu.be/BXCJ3oKoiCw"/>
    <hyperlink ref="F700" r:id="rId2" display="https://files.afu.se/Downloads/Transcripts/0%20-%20Government/USA%20-%20NASA%20Kennedy/"/>
    <hyperlink ref="C701" r:id="rId701" display="https://youtu.be/GuruFHI5u8Q"/>
    <hyperlink ref="F701" r:id="rId2" display="https://files.afu.se/Downloads/Transcripts/0%20-%20Government/USA%20-%20NASA%20Kennedy/"/>
    <hyperlink ref="C702" r:id="rId702" display="https://youtu.be/Eo8ibQWG6is"/>
    <hyperlink ref="F702" r:id="rId2" display="https://files.afu.se/Downloads/Transcripts/0%20-%20Government/USA%20-%20NASA%20Kennedy/"/>
    <hyperlink ref="C703" r:id="rId703" display="https://youtu.be/1TFdQVJVU8s"/>
    <hyperlink ref="F703" r:id="rId2" display="https://files.afu.se/Downloads/Transcripts/0%20-%20Government/USA%20-%20NASA%20Kennedy/"/>
    <hyperlink ref="C704" r:id="rId704" display="https://youtu.be/fD-8NB4DFr0"/>
    <hyperlink ref="F704" r:id="rId2" display="https://files.afu.se/Downloads/Transcripts/0%20-%20Government/USA%20-%20NASA%20Kennedy/"/>
    <hyperlink ref="C705" r:id="rId705" display="https://youtu.be/Bla3RsVia9A"/>
    <hyperlink ref="F705" r:id="rId2" display="https://files.afu.se/Downloads/Transcripts/0%20-%20Government/USA%20-%20NASA%20Kennedy/"/>
    <hyperlink ref="C706" r:id="rId706" display="https://youtu.be/ZrfKdo6yGaI"/>
    <hyperlink ref="F706" r:id="rId2" display="https://files.afu.se/Downloads/Transcripts/0%20-%20Government/USA%20-%20NASA%20Kennedy/"/>
    <hyperlink ref="C707" r:id="rId707" display="https://youtu.be/20ks8gLJW-8"/>
    <hyperlink ref="F707" r:id="rId2" display="https://files.afu.se/Downloads/Transcripts/0%20-%20Government/USA%20-%20NASA%20Kennedy/"/>
    <hyperlink ref="C708" r:id="rId708" display="https://youtu.be/CW6R_0x3oaM"/>
    <hyperlink ref="F708" r:id="rId2" display="https://files.afu.se/Downloads/Transcripts/0%20-%20Government/USA%20-%20NASA%20Kennedy/"/>
    <hyperlink ref="C709" r:id="rId709" display="https://youtu.be/qN6ptUAdvag"/>
    <hyperlink ref="F709" r:id="rId2" display="https://files.afu.se/Downloads/Transcripts/0%20-%20Government/USA%20-%20NASA%20Kennedy/"/>
    <hyperlink ref="C710" r:id="rId710" display="https://youtu.be/1IOHhrdBasg"/>
    <hyperlink ref="F710" r:id="rId2" display="https://files.afu.se/Downloads/Transcripts/0%20-%20Government/USA%20-%20NASA%20Kennedy/"/>
    <hyperlink ref="C711" r:id="rId711" display="https://youtu.be/XK4f9KpzGpA"/>
    <hyperlink ref="F711" r:id="rId2" display="https://files.afu.se/Downloads/Transcripts/0%20-%20Government/USA%20-%20NASA%20Kennedy/"/>
    <hyperlink ref="C712" r:id="rId712" display="https://youtu.be/tLWrZFA_wtY"/>
    <hyperlink ref="F712" r:id="rId2" display="https://files.afu.se/Downloads/Transcripts/0%20-%20Government/USA%20-%20NASA%20Kennedy/"/>
    <hyperlink ref="C713" r:id="rId713" display="https://youtu.be/3gM6NblzlWQ"/>
    <hyperlink ref="F713" r:id="rId2" display="https://files.afu.se/Downloads/Transcripts/0%20-%20Government/USA%20-%20NASA%20Kennedy/"/>
    <hyperlink ref="C714" r:id="rId714" display="https://youtu.be/o5Z_YvjBuGE"/>
    <hyperlink ref="F714" r:id="rId2" display="https://files.afu.se/Downloads/Transcripts/0%20-%20Government/USA%20-%20NASA%20Kennedy/"/>
    <hyperlink ref="C715" r:id="rId715" display="https://youtu.be/RYMLQyYF32s"/>
    <hyperlink ref="F715" r:id="rId2" display="https://files.afu.se/Downloads/Transcripts/0%20-%20Government/USA%20-%20NASA%20Kennedy/"/>
    <hyperlink ref="C716" r:id="rId716" display="https://youtu.be/Pr2IsapvdaY"/>
    <hyperlink ref="F716" r:id="rId2" display="https://files.afu.se/Downloads/Transcripts/0%20-%20Government/USA%20-%20NASA%20Kennedy/"/>
    <hyperlink ref="C717" r:id="rId717" display="https://youtu.be/8zwHj6Q-2JA"/>
    <hyperlink ref="F717" r:id="rId2" display="https://files.afu.se/Downloads/Transcripts/0%20-%20Government/USA%20-%20NASA%20Kennedy/"/>
    <hyperlink ref="C718" r:id="rId718" display="https://youtu.be/Hc5ODp0uSs8"/>
    <hyperlink ref="F718" r:id="rId2" display="https://files.afu.se/Downloads/Transcripts/0%20-%20Government/USA%20-%20NASA%20Kennedy/"/>
    <hyperlink ref="C719" r:id="rId719" display="https://youtu.be/Hr9M98ZAV3s"/>
    <hyperlink ref="F719" r:id="rId2" display="https://files.afu.se/Downloads/Transcripts/0%20-%20Government/USA%20-%20NASA%20Kennedy/"/>
    <hyperlink ref="C720" r:id="rId720" display="https://youtu.be/N0CAxVT6ucM"/>
    <hyperlink ref="F720" r:id="rId2" display="https://files.afu.se/Downloads/Transcripts/0%20-%20Government/USA%20-%20NASA%20Kennedy/"/>
    <hyperlink ref="C721" r:id="rId721" display="https://youtu.be/O7lpEoUV7BQ"/>
    <hyperlink ref="F721" r:id="rId2" display="https://files.afu.se/Downloads/Transcripts/0%20-%20Government/USA%20-%20NASA%20Kennedy/"/>
    <hyperlink ref="C722" r:id="rId722" display="https://youtu.be/qUKHT6DGe5o"/>
    <hyperlink ref="F722" r:id="rId2" display="https://files.afu.se/Downloads/Transcripts/0%20-%20Government/USA%20-%20NASA%20Kennedy/"/>
    <hyperlink ref="C723" r:id="rId723" display="https://youtu.be/ezg8HA4AwFY"/>
    <hyperlink ref="F723" r:id="rId2" display="https://files.afu.se/Downloads/Transcripts/0%20-%20Government/USA%20-%20NASA%20Kennedy/"/>
    <hyperlink ref="C724" r:id="rId724" display="https://youtu.be/FDhJYgcHDX8"/>
    <hyperlink ref="F724" r:id="rId2" display="https://files.afu.se/Downloads/Transcripts/0%20-%20Government/USA%20-%20NASA%20Kennedy/"/>
    <hyperlink ref="C725" r:id="rId725" display="https://youtu.be/4dh_ZeMEadE"/>
    <hyperlink ref="F725" r:id="rId2" display="https://files.afu.se/Downloads/Transcripts/0%20-%20Government/USA%20-%20NASA%20Kennedy/"/>
    <hyperlink ref="C726" r:id="rId726" display="https://youtu.be/fwS5Cvyuw08"/>
    <hyperlink ref="F726" r:id="rId2" display="https://files.afu.se/Downloads/Transcripts/0%20-%20Government/USA%20-%20NASA%20Kennedy/"/>
    <hyperlink ref="C727" r:id="rId727" display="https://youtu.be/BlWE_Z0TLFE"/>
    <hyperlink ref="F727" r:id="rId2" display="https://files.afu.se/Downloads/Transcripts/0%20-%20Government/USA%20-%20NASA%20Kennedy/"/>
    <hyperlink ref="C728" r:id="rId728" display="https://youtu.be/k0cvGRIFMK0"/>
    <hyperlink ref="F728" r:id="rId2" display="https://files.afu.se/Downloads/Transcripts/0%20-%20Government/USA%20-%20NASA%20Kennedy/"/>
    <hyperlink ref="C729" r:id="rId729" display="https://youtu.be/By0fhGgo6kA"/>
    <hyperlink ref="F729" r:id="rId2" display="https://files.afu.se/Downloads/Transcripts/0%20-%20Government/USA%20-%20NASA%20Kennedy/"/>
    <hyperlink ref="C730" r:id="rId730" display="https://youtu.be/QWfEbkj9GgI"/>
    <hyperlink ref="F730" r:id="rId2" display="https://files.afu.se/Downloads/Transcripts/0%20-%20Government/USA%20-%20NASA%20Kennedy/"/>
    <hyperlink ref="C731" r:id="rId731" display="https://youtu.be/rIgJwyHD9vs"/>
    <hyperlink ref="F731" r:id="rId2" display="https://files.afu.se/Downloads/Transcripts/0%20-%20Government/USA%20-%20NASA%20Kennedy/"/>
    <hyperlink ref="C732" r:id="rId732" display="https://youtu.be/xSF5GWS01YE"/>
    <hyperlink ref="F732" r:id="rId2" display="https://files.afu.se/Downloads/Transcripts/0%20-%20Government/USA%20-%20NASA%20Kennedy/"/>
    <hyperlink ref="C733" r:id="rId733" display="https://youtu.be/6uE0GuhYtPE"/>
    <hyperlink ref="F733" r:id="rId2" display="https://files.afu.se/Downloads/Transcripts/0%20-%20Government/USA%20-%20NASA%20Kennedy/"/>
    <hyperlink ref="C734" r:id="rId734" display="https://youtu.be/qidg0MzqBeM"/>
    <hyperlink ref="F734" r:id="rId2" display="https://files.afu.se/Downloads/Transcripts/0%20-%20Government/USA%20-%20NASA%20Kennedy/"/>
    <hyperlink ref="C735" r:id="rId735" display="https://youtu.be/1kvE-WeUYTo"/>
    <hyperlink ref="F735" r:id="rId2" display="https://files.afu.se/Downloads/Transcripts/0%20-%20Government/USA%20-%20NASA%20Kennedy/"/>
    <hyperlink ref="C736" r:id="rId736" display="https://youtu.be/r_5lZ2S0zTg"/>
    <hyperlink ref="F736" r:id="rId2" display="https://files.afu.se/Downloads/Transcripts/0%20-%20Government/USA%20-%20NASA%20Kennedy/"/>
    <hyperlink ref="C737" r:id="rId737" display="https://youtu.be/mq0R-PlcqAk"/>
    <hyperlink ref="F737" r:id="rId2" display="https://files.afu.se/Downloads/Transcripts/0%20-%20Government/USA%20-%20NASA%20Kennedy/"/>
    <hyperlink ref="C738" r:id="rId738" display="https://youtu.be/fJTyac0ifDo"/>
    <hyperlink ref="F738" r:id="rId2" display="https://files.afu.se/Downloads/Transcripts/0%20-%20Government/USA%20-%20NASA%20Kennedy/"/>
    <hyperlink ref="C739" r:id="rId739" display="https://youtu.be/W6hOLMnaicY"/>
    <hyperlink ref="F739" r:id="rId2" display="https://files.afu.se/Downloads/Transcripts/0%20-%20Government/USA%20-%20NASA%20Kennedy/"/>
    <hyperlink ref="C740" r:id="rId740" display="https://youtu.be/SlXydcXcNfM"/>
    <hyperlink ref="F740" r:id="rId2" display="https://files.afu.se/Downloads/Transcripts/0%20-%20Government/USA%20-%20NASA%20Kennedy/"/>
    <hyperlink ref="C741" r:id="rId741" display="https://youtu.be/2BUaS2QCeZk"/>
    <hyperlink ref="F741" r:id="rId2" display="https://files.afu.se/Downloads/Transcripts/0%20-%20Government/USA%20-%20NASA%20Kennedy/"/>
    <hyperlink ref="C742" r:id="rId742" display="https://youtu.be/d10PaWrsWIo"/>
    <hyperlink ref="F742" r:id="rId2" display="https://files.afu.se/Downloads/Transcripts/0%20-%20Government/USA%20-%20NASA%20Kennedy/"/>
    <hyperlink ref="C743" r:id="rId743" display="https://youtu.be/cRLnAeL3wdU"/>
    <hyperlink ref="F743" r:id="rId2" display="https://files.afu.se/Downloads/Transcripts/0%20-%20Government/USA%20-%20NASA%20Kennedy/"/>
    <hyperlink ref="C744" r:id="rId744" display="https://youtu.be/iRcrewH3XL4"/>
    <hyperlink ref="F744" r:id="rId2" display="https://files.afu.se/Downloads/Transcripts/0%20-%20Government/USA%20-%20NASA%20Kennedy/"/>
    <hyperlink ref="C745" r:id="rId745" display="https://youtu.be/AM40S4kJETI"/>
    <hyperlink ref="F745" r:id="rId2" display="https://files.afu.se/Downloads/Transcripts/0%20-%20Government/USA%20-%20NASA%20Kennedy/"/>
    <hyperlink ref="C746" r:id="rId746" display="https://youtu.be/4biErxQV4ag"/>
    <hyperlink ref="F746" r:id="rId2" display="https://files.afu.se/Downloads/Transcripts/0%20-%20Government/USA%20-%20NASA%20Kennedy/"/>
    <hyperlink ref="C747" r:id="rId747" display="https://youtu.be/boDt0odsZBY"/>
    <hyperlink ref="F747" r:id="rId2" display="https://files.afu.se/Downloads/Transcripts/0%20-%20Government/USA%20-%20NASA%20Kennedy/"/>
    <hyperlink ref="C748" r:id="rId748" display="https://youtu.be/cLKNzBzGiL4"/>
    <hyperlink ref="F748" r:id="rId2" display="https://files.afu.se/Downloads/Transcripts/0%20-%20Government/USA%20-%20NASA%20Kennedy/"/>
    <hyperlink ref="C749" r:id="rId749" display="https://youtu.be/JcmjW6mTV64"/>
    <hyperlink ref="F749" r:id="rId2" display="https://files.afu.se/Downloads/Transcripts/0%20-%20Government/USA%20-%20NASA%20Kennedy/"/>
    <hyperlink ref="C750" r:id="rId750" display="https://youtu.be/t6Xm5N5UFqc"/>
    <hyperlink ref="F750" r:id="rId2" display="https://files.afu.se/Downloads/Transcripts/0%20-%20Government/USA%20-%20NASA%20Kennedy/"/>
    <hyperlink ref="C751" r:id="rId751" display="https://youtu.be/PIF8zvnEN9c"/>
    <hyperlink ref="F751" r:id="rId2" display="https://files.afu.se/Downloads/Transcripts/0%20-%20Government/USA%20-%20NASA%20Kennedy/"/>
    <hyperlink ref="C752" r:id="rId752" display="https://youtu.be/8aNRCbGm52M"/>
    <hyperlink ref="F752" r:id="rId2" display="https://files.afu.se/Downloads/Transcripts/0%20-%20Government/USA%20-%20NASA%20Kennedy/"/>
    <hyperlink ref="C753" r:id="rId753" display="https://youtu.be/O8yKyhNqoaA"/>
    <hyperlink ref="F753" r:id="rId2" display="https://files.afu.se/Downloads/Transcripts/0%20-%20Government/USA%20-%20NASA%20Kennedy/"/>
    <hyperlink ref="C754" r:id="rId754" display="https://youtu.be/ULfQdFY9PQM"/>
    <hyperlink ref="F754" r:id="rId2" display="https://files.afu.se/Downloads/Transcripts/0%20-%20Government/USA%20-%20NASA%20Kennedy/"/>
    <hyperlink ref="C755" r:id="rId755" display="https://youtu.be/9ZFvkUI5gt4"/>
    <hyperlink ref="F755" r:id="rId2" display="https://files.afu.se/Downloads/Transcripts/0%20-%20Government/USA%20-%20NASA%20Kennedy/"/>
    <hyperlink ref="C756" r:id="rId756" display="https://youtu.be/2hi0IDUKVWg"/>
    <hyperlink ref="F756" r:id="rId2" display="https://files.afu.se/Downloads/Transcripts/0%20-%20Government/USA%20-%20NASA%20Kennedy/"/>
    <hyperlink ref="C757" r:id="rId757" display="https://youtu.be/cynVuXYiif8"/>
    <hyperlink ref="F757" r:id="rId2" display="https://files.afu.se/Downloads/Transcripts/0%20-%20Government/USA%20-%20NASA%20Kennedy/"/>
    <hyperlink ref="C758" r:id="rId758" display="https://youtu.be/1Uf-X-n6we0"/>
    <hyperlink ref="F758" r:id="rId2" display="https://files.afu.se/Downloads/Transcripts/0%20-%20Government/USA%20-%20NASA%20Kennedy/"/>
    <hyperlink ref="C759" r:id="rId759" display="https://youtu.be/NpMPNqdRA2A"/>
    <hyperlink ref="F759" r:id="rId2" display="https://files.afu.se/Downloads/Transcripts/0%20-%20Government/USA%20-%20NASA%20Kennedy/"/>
    <hyperlink ref="C760" r:id="rId760" display="https://youtu.be/xjK1Es_h3UY"/>
    <hyperlink ref="F760" r:id="rId2" display="https://files.afu.se/Downloads/Transcripts/0%20-%20Government/USA%20-%20NASA%20Kennedy/"/>
    <hyperlink ref="C761" r:id="rId761" display="https://youtu.be/s5q28w6yjy4"/>
    <hyperlink ref="F761" r:id="rId2" display="https://files.afu.se/Downloads/Transcripts/0%20-%20Government/USA%20-%20NASA%20Kennedy/"/>
    <hyperlink ref="C762" r:id="rId762" display="https://youtu.be/Saaq1yMxt84"/>
    <hyperlink ref="F762" r:id="rId2" display="https://files.afu.se/Downloads/Transcripts/0%20-%20Government/USA%20-%20NASA%20Kennedy/"/>
    <hyperlink ref="C763" r:id="rId763" display="https://youtu.be/Y8r6lAOOCHc"/>
    <hyperlink ref="F763" r:id="rId2" display="https://files.afu.se/Downloads/Transcripts/0%20-%20Government/USA%20-%20NASA%20Kennedy/"/>
    <hyperlink ref="C764" r:id="rId764" display="https://youtu.be/FVL-C328CHQ"/>
    <hyperlink ref="F764" r:id="rId2" display="https://files.afu.se/Downloads/Transcripts/0%20-%20Government/USA%20-%20NASA%20Kennedy/"/>
    <hyperlink ref="C765" r:id="rId765" display="https://youtu.be/cOXceSRMcjA"/>
    <hyperlink ref="F765" r:id="rId2" display="https://files.afu.se/Downloads/Transcripts/0%20-%20Government/USA%20-%20NASA%20Kennedy/"/>
    <hyperlink ref="C766" r:id="rId766" display="https://youtu.be/at3cCCstD2Q"/>
    <hyperlink ref="F766" r:id="rId2" display="https://files.afu.se/Downloads/Transcripts/0%20-%20Government/USA%20-%20NASA%20Kennedy/"/>
    <hyperlink ref="C767" r:id="rId767" display="https://youtu.be/8SCqZ7NOvZs"/>
    <hyperlink ref="F767" r:id="rId2" display="https://files.afu.se/Downloads/Transcripts/0%20-%20Government/USA%20-%20NASA%20Kennedy/"/>
    <hyperlink ref="C768" r:id="rId768" display="https://youtu.be/XQYkdOPqkWc"/>
    <hyperlink ref="F768" r:id="rId2" display="https://files.afu.se/Downloads/Transcripts/0%20-%20Government/USA%20-%20NASA%20Kennedy/"/>
    <hyperlink ref="C769" r:id="rId769" display="https://youtu.be/Z7ADMA1eRFQ"/>
    <hyperlink ref="F769" r:id="rId2" display="https://files.afu.se/Downloads/Transcripts/0%20-%20Government/USA%20-%20NASA%20Kennedy/"/>
    <hyperlink ref="C770" r:id="rId770" display="https://youtu.be/RlN6_3_h8M0"/>
    <hyperlink ref="F770" r:id="rId2" display="https://files.afu.se/Downloads/Transcripts/0%20-%20Government/USA%20-%20NASA%20Kennedy/"/>
    <hyperlink ref="C771" r:id="rId771" display="https://youtu.be/3cqqzh7oi7k"/>
    <hyperlink ref="F771" r:id="rId2" display="https://files.afu.se/Downloads/Transcripts/0%20-%20Government/USA%20-%20NASA%20Kennedy/"/>
    <hyperlink ref="C772" r:id="rId772" display="https://youtu.be/silrQqvMyqg"/>
    <hyperlink ref="F772" r:id="rId2" display="https://files.afu.se/Downloads/Transcripts/0%20-%20Government/USA%20-%20NASA%20Kennedy/"/>
    <hyperlink ref="C773" r:id="rId773" display="https://youtu.be/3kqdzZcejM0"/>
    <hyperlink ref="F773" r:id="rId2" display="https://files.afu.se/Downloads/Transcripts/0%20-%20Government/USA%20-%20NASA%20Kennedy/"/>
    <hyperlink ref="C774" r:id="rId774" display="https://youtu.be/0Ul77wuXAWs"/>
    <hyperlink ref="F774" r:id="rId2" display="https://files.afu.se/Downloads/Transcripts/0%20-%20Government/USA%20-%20NASA%20Kennedy/"/>
    <hyperlink ref="C775" r:id="rId775" display="https://youtu.be/3ENAW5KmELE"/>
    <hyperlink ref="F775" r:id="rId2" display="https://files.afu.se/Downloads/Transcripts/0%20-%20Government/USA%20-%20NASA%20Kennedy/"/>
    <hyperlink ref="C776" r:id="rId776" display="https://youtu.be/Q3G-KIuzguY"/>
    <hyperlink ref="F776" r:id="rId2" display="https://files.afu.se/Downloads/Transcripts/0%20-%20Government/USA%20-%20NASA%20Kennedy/"/>
    <hyperlink ref="C777" r:id="rId777" display="https://youtu.be/Mt5Sj_ClZWo"/>
    <hyperlink ref="F777" r:id="rId2" display="https://files.afu.se/Downloads/Transcripts/0%20-%20Government/USA%20-%20NASA%20Kennedy/"/>
    <hyperlink ref="C778" r:id="rId778" display="https://youtu.be/RiHpbFf4a0s"/>
    <hyperlink ref="F778" r:id="rId2" display="https://files.afu.se/Downloads/Transcripts/0%20-%20Government/USA%20-%20NASA%20Kennedy/"/>
    <hyperlink ref="C779" r:id="rId779" display="https://youtu.be/b8EtGkpKOBA"/>
    <hyperlink ref="F779" r:id="rId2" display="https://files.afu.se/Downloads/Transcripts/0%20-%20Government/USA%20-%20NASA%20Kennedy/"/>
    <hyperlink ref="C780" r:id="rId780" display="https://youtu.be/tIZxZMP7vNk"/>
    <hyperlink ref="F780" r:id="rId2" display="https://files.afu.se/Downloads/Transcripts/0%20-%20Government/USA%20-%20NASA%20Kennedy/"/>
    <hyperlink ref="C781" r:id="rId781" display="https://youtu.be/qA6KPkEx7PA"/>
    <hyperlink ref="F781" r:id="rId2" display="https://files.afu.se/Downloads/Transcripts/0%20-%20Government/USA%20-%20NASA%20Kennedy/"/>
    <hyperlink ref="C782" r:id="rId782" display="https://youtu.be/1sOaR5IkyIs"/>
    <hyperlink ref="F782" r:id="rId2" display="https://files.afu.se/Downloads/Transcripts/0%20-%20Government/USA%20-%20NASA%20Kennedy/"/>
    <hyperlink ref="C783" r:id="rId783" display="https://youtu.be/-wr_caHW_9Y"/>
    <hyperlink ref="F783" r:id="rId2" display="https://files.afu.se/Downloads/Transcripts/0%20-%20Government/USA%20-%20NASA%20Kennedy/"/>
    <hyperlink ref="C784" r:id="rId784" display="https://youtu.be/qnOmIWbp19k"/>
    <hyperlink ref="F784" r:id="rId2" display="https://files.afu.se/Downloads/Transcripts/0%20-%20Government/USA%20-%20NASA%20Kennedy/"/>
    <hyperlink ref="C785" r:id="rId785" display="https://youtu.be/k6-hkOmAwls"/>
    <hyperlink ref="F785" r:id="rId2" display="https://files.afu.se/Downloads/Transcripts/0%20-%20Government/USA%20-%20NASA%20Kennedy/"/>
    <hyperlink ref="C786" r:id="rId786" display="https://youtu.be/RZ9j97zxWUo"/>
    <hyperlink ref="F786" r:id="rId2" display="https://files.afu.se/Downloads/Transcripts/0%20-%20Government/USA%20-%20NASA%20Kennedy/"/>
    <hyperlink ref="C787" r:id="rId787" display="https://youtu.be/eNcfhrJ34NA"/>
    <hyperlink ref="F787" r:id="rId2" display="https://files.afu.se/Downloads/Transcripts/0%20-%20Government/USA%20-%20NASA%20Kennedy/"/>
    <hyperlink ref="C788" r:id="rId788" display="https://youtu.be/uIsn-EGs1p4"/>
    <hyperlink ref="F788" r:id="rId2" display="https://files.afu.se/Downloads/Transcripts/0%20-%20Government/USA%20-%20NASA%20Kennedy/"/>
    <hyperlink ref="C789" r:id="rId789" display="https://youtu.be/qquqG1aU5Sk"/>
    <hyperlink ref="F789" r:id="rId2" display="https://files.afu.se/Downloads/Transcripts/0%20-%20Government/USA%20-%20NASA%20Kennedy/"/>
    <hyperlink ref="C790" r:id="rId790" display="https://youtu.be/EP46JOV2Ef4"/>
    <hyperlink ref="F790" r:id="rId2" display="https://files.afu.se/Downloads/Transcripts/0%20-%20Government/USA%20-%20NASA%20Kennedy/"/>
    <hyperlink ref="C791" r:id="rId791" display="https://youtu.be/vLcz34UdBJg"/>
    <hyperlink ref="F791" r:id="rId2" display="https://files.afu.se/Downloads/Transcripts/0%20-%20Government/USA%20-%20NASA%20Kennedy/"/>
    <hyperlink ref="C792" r:id="rId792" display="https://youtu.be/bkJ3DueQVt4"/>
    <hyperlink ref="F792" r:id="rId2" display="https://files.afu.se/Downloads/Transcripts/0%20-%20Government/USA%20-%20NASA%20Kennedy/"/>
    <hyperlink ref="C793" r:id="rId793" display="https://youtu.be/TQfR6XF69mo"/>
    <hyperlink ref="F793" r:id="rId2" display="https://files.afu.se/Downloads/Transcripts/0%20-%20Government/USA%20-%20NASA%20Kennedy/"/>
    <hyperlink ref="C794" r:id="rId794" display="https://youtu.be/U_lrfcsgUbY"/>
    <hyperlink ref="F794" r:id="rId2" display="https://files.afu.se/Downloads/Transcripts/0%20-%20Government/USA%20-%20NASA%20Kennedy/"/>
    <hyperlink ref="C795" r:id="rId795" display="https://youtu.be/uO1QZEH62Pw"/>
    <hyperlink ref="F795" r:id="rId2" display="https://files.afu.se/Downloads/Transcripts/0%20-%20Government/USA%20-%20NASA%20Kennedy/"/>
    <hyperlink ref="C796" r:id="rId796" display="https://youtu.be/GpJDskL7Sx0"/>
    <hyperlink ref="F796" r:id="rId2" display="https://files.afu.se/Downloads/Transcripts/0%20-%20Government/USA%20-%20NASA%20Kennedy/"/>
    <hyperlink ref="C797" r:id="rId797" display="https://youtu.be/hrKzwYUY1E8"/>
    <hyperlink ref="F797" r:id="rId2" display="https://files.afu.se/Downloads/Transcripts/0%20-%20Government/USA%20-%20NASA%20Kennedy/"/>
    <hyperlink ref="C798" r:id="rId798" display="https://youtu.be/RV0gXFsJEdA"/>
    <hyperlink ref="F798" r:id="rId2" display="https://files.afu.se/Downloads/Transcripts/0%20-%20Government/USA%20-%20NASA%20Kennedy/"/>
    <hyperlink ref="C799" r:id="rId799" display="https://youtu.be/FKECWHiFJiA"/>
    <hyperlink ref="F799" r:id="rId2" display="https://files.afu.se/Downloads/Transcripts/0%20-%20Government/USA%20-%20NASA%20Kennedy/"/>
    <hyperlink ref="C800" r:id="rId800" display="https://youtu.be/OkhJJ0aZnoc"/>
    <hyperlink ref="F800" r:id="rId2" display="https://files.afu.se/Downloads/Transcripts/0%20-%20Government/USA%20-%20NASA%20Kennedy/"/>
    <hyperlink ref="C801" r:id="rId801" display="https://youtu.be/CyJRyt7AKI4"/>
    <hyperlink ref="F801" r:id="rId2" display="https://files.afu.se/Downloads/Transcripts/0%20-%20Government/USA%20-%20NASA%20Kennedy/"/>
    <hyperlink ref="C802" r:id="rId802" display="https://youtu.be/f9xw79nK5ec"/>
    <hyperlink ref="F802" r:id="rId2" display="https://files.afu.se/Downloads/Transcripts/0%20-%20Government/USA%20-%20NASA%20Kennedy/"/>
    <hyperlink ref="C803" r:id="rId803" display="https://youtu.be/yZvXt82CqwM"/>
    <hyperlink ref="F803" r:id="rId2" display="https://files.afu.se/Downloads/Transcripts/0%20-%20Government/USA%20-%20NASA%20Kennedy/"/>
    <hyperlink ref="C804" r:id="rId804" display="https://youtu.be/eFgjqCEuE1k"/>
    <hyperlink ref="F804" r:id="rId2" display="https://files.afu.se/Downloads/Transcripts/0%20-%20Government/USA%20-%20NASA%20Kennedy/"/>
    <hyperlink ref="C805" r:id="rId805" display="https://youtu.be/dbHwou_o96g"/>
    <hyperlink ref="F805" r:id="rId2" display="https://files.afu.se/Downloads/Transcripts/0%20-%20Government/USA%20-%20NASA%20Kennedy/"/>
    <hyperlink ref="C806" r:id="rId806" display="https://youtu.be/FUGofLb587c"/>
    <hyperlink ref="F806" r:id="rId2" display="https://files.afu.se/Downloads/Transcripts/0%20-%20Government/USA%20-%20NASA%20Kennedy/"/>
    <hyperlink ref="C807" r:id="rId807" display="https://youtu.be/z6MlHg5avsg"/>
    <hyperlink ref="F807" r:id="rId2" display="https://files.afu.se/Downloads/Transcripts/0%20-%20Government/USA%20-%20NASA%20Kennedy/"/>
    <hyperlink ref="C808" r:id="rId808" display="https://youtu.be/Oqj3s4RoB_M"/>
    <hyperlink ref="F808" r:id="rId2" display="https://files.afu.se/Downloads/Transcripts/0%20-%20Government/USA%20-%20NASA%20Kennedy/"/>
    <hyperlink ref="C809" r:id="rId809" display="https://youtu.be/Iq02CZZQgUs"/>
    <hyperlink ref="F809" r:id="rId2" display="https://files.afu.se/Downloads/Transcripts/0%20-%20Government/USA%20-%20NASA%20Kennedy/"/>
    <hyperlink ref="C810" r:id="rId810" display="https://youtu.be/fa5tYn4MU-I"/>
    <hyperlink ref="F810" r:id="rId2" display="https://files.afu.se/Downloads/Transcripts/0%20-%20Government/USA%20-%20NASA%20Kennedy/"/>
    <hyperlink ref="C811" r:id="rId811" display="https://youtu.be/9B_YawQKW4Q"/>
    <hyperlink ref="F811" r:id="rId2" display="https://files.afu.se/Downloads/Transcripts/0%20-%20Government/USA%20-%20NASA%20Kennedy/"/>
    <hyperlink ref="C812" r:id="rId812" display="https://youtu.be/10eum__SZ5k"/>
    <hyperlink ref="F812" r:id="rId2" display="https://files.afu.se/Downloads/Transcripts/0%20-%20Government/USA%20-%20NASA%20Kennedy/"/>
    <hyperlink ref="C813" r:id="rId813" display="https://youtu.be/VXYjJSyIkg4"/>
    <hyperlink ref="F813" r:id="rId2" display="https://files.afu.se/Downloads/Transcripts/0%20-%20Government/USA%20-%20NASA%20Kennedy/"/>
    <hyperlink ref="C814" r:id="rId814" display="https://youtu.be/8dbjoLCmxRU"/>
    <hyperlink ref="F814" r:id="rId2" display="https://files.afu.se/Downloads/Transcripts/0%20-%20Government/USA%20-%20NASA%20Kennedy/"/>
    <hyperlink ref="C815" r:id="rId815" display="https://youtu.be/sDKNIk93S5g"/>
    <hyperlink ref="F815" r:id="rId2" display="https://files.afu.se/Downloads/Transcripts/0%20-%20Government/USA%20-%20NASA%20Kennedy/"/>
    <hyperlink ref="C816" r:id="rId816" display="https://youtu.be/38qTfP3jcL8"/>
    <hyperlink ref="F816" r:id="rId2" display="https://files.afu.se/Downloads/Transcripts/0%20-%20Government/USA%20-%20NASA%20Kennedy/"/>
    <hyperlink ref="C817" r:id="rId817" display="https://youtu.be/WaM7PjxflCU"/>
    <hyperlink ref="F817" r:id="rId2" display="https://files.afu.se/Downloads/Transcripts/0%20-%20Government/USA%20-%20NASA%20Kennedy/"/>
    <hyperlink ref="C818" r:id="rId818" display="https://youtu.be/4PG438XSarg"/>
    <hyperlink ref="F818" r:id="rId2" display="https://files.afu.se/Downloads/Transcripts/0%20-%20Government/USA%20-%20NASA%20Kennedy/"/>
    <hyperlink ref="C819" r:id="rId819" display="https://youtu.be/G46MuTjvgFI"/>
    <hyperlink ref="F819" r:id="rId2" display="https://files.afu.se/Downloads/Transcripts/0%20-%20Government/USA%20-%20NASA%20Kennedy/"/>
    <hyperlink ref="C820" r:id="rId820" display="https://youtu.be/sqgffDXi5II"/>
    <hyperlink ref="F820" r:id="rId2" display="https://files.afu.se/Downloads/Transcripts/0%20-%20Government/USA%20-%20NASA%20Kennedy/"/>
    <hyperlink ref="C821" r:id="rId821" display="https://youtu.be/pzJxhtVJwmE"/>
    <hyperlink ref="F821" r:id="rId2" display="https://files.afu.se/Downloads/Transcripts/0%20-%20Government/USA%20-%20NASA%20Kennedy/"/>
    <hyperlink ref="C822" r:id="rId822" display="https://youtu.be/dBFO4y0tO0M"/>
    <hyperlink ref="F822" r:id="rId2" display="https://files.afu.se/Downloads/Transcripts/0%20-%20Government/USA%20-%20NASA%20Kennedy/"/>
    <hyperlink ref="C823" r:id="rId823" display="https://youtu.be/m3BRi7XcELM"/>
    <hyperlink ref="F823" r:id="rId2" display="https://files.afu.se/Downloads/Transcripts/0%20-%20Government/USA%20-%20NASA%20Kennedy/"/>
    <hyperlink ref="C824" r:id="rId824" display="https://youtu.be/kVWlbYrHTgI"/>
    <hyperlink ref="F824" r:id="rId2" display="https://files.afu.se/Downloads/Transcripts/0%20-%20Government/USA%20-%20NASA%20Kennedy/"/>
    <hyperlink ref="C825" r:id="rId825" display="https://youtu.be/36nO9ebt73Q"/>
    <hyperlink ref="F825" r:id="rId2" display="https://files.afu.se/Downloads/Transcripts/0%20-%20Government/USA%20-%20NASA%20Kennedy/"/>
    <hyperlink ref="C826" r:id="rId826" display="https://youtu.be/QH4M9ZOqXhY"/>
    <hyperlink ref="F826" r:id="rId2" display="https://files.afu.se/Downloads/Transcripts/0%20-%20Government/USA%20-%20NASA%20Kennedy/"/>
    <hyperlink ref="C827" r:id="rId827" display="https://youtu.be/3kYiK6Bbt3I"/>
    <hyperlink ref="F827" r:id="rId2" display="https://files.afu.se/Downloads/Transcripts/0%20-%20Government/USA%20-%20NASA%20Kennedy/"/>
    <hyperlink ref="C828" r:id="rId828" display="https://youtu.be/wA4XRpZ9gms"/>
    <hyperlink ref="F828" r:id="rId2" display="https://files.afu.se/Downloads/Transcripts/0%20-%20Government/USA%20-%20NASA%20Kennedy/"/>
    <hyperlink ref="C829" r:id="rId829" display="https://youtu.be/ZqzH0Gm6gnc"/>
    <hyperlink ref="F829" r:id="rId2" display="https://files.afu.se/Downloads/Transcripts/0%20-%20Government/USA%20-%20NASA%20Kennedy/"/>
    <hyperlink ref="C830" r:id="rId830" display="https://youtu.be/cQ_IueWEPas"/>
    <hyperlink ref="F830" r:id="rId2" display="https://files.afu.se/Downloads/Transcripts/0%20-%20Government/USA%20-%20NASA%20Kennedy/"/>
    <hyperlink ref="C831" r:id="rId831" display="https://youtu.be/hCeIG06iAEA"/>
    <hyperlink ref="F831" r:id="rId2" display="https://files.afu.se/Downloads/Transcripts/0%20-%20Government/USA%20-%20NASA%20Kennedy/"/>
    <hyperlink ref="C832" r:id="rId832" display="https://youtu.be/Yn7_4GRqtOk"/>
    <hyperlink ref="F832" r:id="rId2" display="https://files.afu.se/Downloads/Transcripts/0%20-%20Government/USA%20-%20NASA%20Kennedy/"/>
    <hyperlink ref="C833" r:id="rId833" display="https://youtu.be/QpyvBa9nm2w"/>
    <hyperlink ref="F833" r:id="rId2" display="https://files.afu.se/Downloads/Transcripts/0%20-%20Government/USA%20-%20NASA%20Kennedy/"/>
    <hyperlink ref="C834" r:id="rId834" display="https://youtu.be/uDiBIXksBrs"/>
    <hyperlink ref="F834" r:id="rId2" display="https://files.afu.se/Downloads/Transcripts/0%20-%20Government/USA%20-%20NASA%20Kennedy/"/>
    <hyperlink ref="C835" r:id="rId835" display="https://youtu.be/ZtUmo_8NLGE"/>
    <hyperlink ref="F835" r:id="rId2" display="https://files.afu.se/Downloads/Transcripts/0%20-%20Government/USA%20-%20NASA%20Kennedy/"/>
    <hyperlink ref="C836" r:id="rId836" display="https://youtu.be/loqk1PaoFcw"/>
    <hyperlink ref="F836" r:id="rId2" display="https://files.afu.se/Downloads/Transcripts/0%20-%20Government/USA%20-%20NASA%20Kennedy/"/>
    <hyperlink ref="C837" r:id="rId837" display="https://youtu.be/hM5fcxFwcHk"/>
    <hyperlink ref="F837" r:id="rId2" display="https://files.afu.se/Downloads/Transcripts/0%20-%20Government/USA%20-%20NASA%20Kennedy/"/>
    <hyperlink ref="C838" r:id="rId838" display="https://youtu.be/bHY-yUA4Hds"/>
    <hyperlink ref="F838" r:id="rId2" display="https://files.afu.se/Downloads/Transcripts/0%20-%20Government/USA%20-%20NASA%20Kennedy/"/>
    <hyperlink ref="C839" r:id="rId839" display="https://youtu.be/UlqFAKJuK24"/>
    <hyperlink ref="F839" r:id="rId2" display="https://files.afu.se/Downloads/Transcripts/0%20-%20Government/USA%20-%20NASA%20Kennedy/"/>
    <hyperlink ref="C840" r:id="rId840" display="https://youtu.be/MCRssVdabEg"/>
    <hyperlink ref="F840" r:id="rId2" display="https://files.afu.se/Downloads/Transcripts/0%20-%20Government/USA%20-%20NASA%20Kennedy/"/>
    <hyperlink ref="C841" r:id="rId841" display="https://youtu.be/Z-7xQzrovTQ"/>
    <hyperlink ref="F841" r:id="rId2" display="https://files.afu.se/Downloads/Transcripts/0%20-%20Government/USA%20-%20NASA%20Kennedy/"/>
    <hyperlink ref="C842" r:id="rId842" display="https://youtu.be/mpzH8Hablwg"/>
    <hyperlink ref="F842" r:id="rId2" display="https://files.afu.se/Downloads/Transcripts/0%20-%20Government/USA%20-%20NASA%20Kennedy/"/>
    <hyperlink ref="C843" r:id="rId843" display="https://youtu.be/8YXIZUxxImQ"/>
    <hyperlink ref="F843" r:id="rId2" display="https://files.afu.se/Downloads/Transcripts/0%20-%20Government/USA%20-%20NASA%20Kennedy/"/>
    <hyperlink ref="C844" r:id="rId844" display="https://youtu.be/abKTvFTdfd4"/>
    <hyperlink ref="F844" r:id="rId2" display="https://files.afu.se/Downloads/Transcripts/0%20-%20Government/USA%20-%20NASA%20Kennedy/"/>
    <hyperlink ref="C845" r:id="rId845" display="https://youtu.be/3SA4V1s_u1I"/>
    <hyperlink ref="F845" r:id="rId2" display="https://files.afu.se/Downloads/Transcripts/0%20-%20Government/USA%20-%20NASA%20Kennedy/"/>
    <hyperlink ref="C846" r:id="rId846" display="https://youtu.be/6yfRzMk6jd8"/>
    <hyperlink ref="F846" r:id="rId2" display="https://files.afu.se/Downloads/Transcripts/0%20-%20Government/USA%20-%20NASA%20Kennedy/"/>
    <hyperlink ref="C847" r:id="rId847" display="https://youtu.be/M90MB93o_xQ"/>
    <hyperlink ref="F847" r:id="rId2" display="https://files.afu.se/Downloads/Transcripts/0%20-%20Government/USA%20-%20NASA%20Kennedy/"/>
    <hyperlink ref="C848" r:id="rId848" display="https://youtu.be/I_aNwjprFPY"/>
    <hyperlink ref="F848" r:id="rId2" display="https://files.afu.se/Downloads/Transcripts/0%20-%20Government/USA%20-%20NASA%20Kennedy/"/>
    <hyperlink ref="C849" r:id="rId849" display="https://youtu.be/nKB09Bi6BUY"/>
    <hyperlink ref="F849" r:id="rId2" display="https://files.afu.se/Downloads/Transcripts/0%20-%20Government/USA%20-%20NASA%20Kennedy/"/>
    <hyperlink ref="C850" r:id="rId850" display="https://youtu.be/Z1VuefaRrdc"/>
    <hyperlink ref="F850" r:id="rId2" display="https://files.afu.se/Downloads/Transcripts/0%20-%20Government/USA%20-%20NASA%20Kennedy/"/>
    <hyperlink ref="C851" r:id="rId851" display="https://youtu.be/jSzjEKQhf14"/>
    <hyperlink ref="F851" r:id="rId2" display="https://files.afu.se/Downloads/Transcripts/0%20-%20Government/USA%20-%20NASA%20Kennedy/"/>
    <hyperlink ref="C852" r:id="rId852" display="https://youtu.be/ztEhWeuL_S4"/>
    <hyperlink ref="F852" r:id="rId2" display="https://files.afu.se/Downloads/Transcripts/0%20-%20Government/USA%20-%20NASA%20Kennedy/"/>
    <hyperlink ref="C853" r:id="rId853" display="https://youtu.be/F-FwXtxV3f8"/>
    <hyperlink ref="F853" r:id="rId2" display="https://files.afu.se/Downloads/Transcripts/0%20-%20Government/USA%20-%20NASA%20Kennedy/"/>
    <hyperlink ref="C854" r:id="rId854" display="https://youtu.be/NMD5pUy9dhc"/>
    <hyperlink ref="F854" r:id="rId2" display="https://files.afu.se/Downloads/Transcripts/0%20-%20Government/USA%20-%20NASA%20Kennedy/"/>
    <hyperlink ref="C855" r:id="rId855" display="https://youtu.be/4beUYDuJAis"/>
    <hyperlink ref="F855" r:id="rId2" display="https://files.afu.se/Downloads/Transcripts/0%20-%20Government/USA%20-%20NASA%20Kennedy/"/>
    <hyperlink ref="C856" r:id="rId856" display="https://youtu.be/IU_sIP9blxM"/>
    <hyperlink ref="F856" r:id="rId2" display="https://files.afu.se/Downloads/Transcripts/0%20-%20Government/USA%20-%20NASA%20Kennedy/"/>
    <hyperlink ref="C857" r:id="rId857" display="https://youtu.be/uD4xh7FE7Hw"/>
    <hyperlink ref="F857" r:id="rId2" display="https://files.afu.se/Downloads/Transcripts/0%20-%20Government/USA%20-%20NASA%20Kennedy/"/>
    <hyperlink ref="C858" r:id="rId858" display="https://youtu.be/eAVWgLEjNE0"/>
    <hyperlink ref="F858" r:id="rId2" display="https://files.afu.se/Downloads/Transcripts/0%20-%20Government/USA%20-%20NASA%20Kennedy/"/>
    <hyperlink ref="C859" r:id="rId859" display="https://youtu.be/6ckmQufauDo"/>
    <hyperlink ref="F859" r:id="rId2" display="https://files.afu.se/Downloads/Transcripts/0%20-%20Government/USA%20-%20NASA%20Kennedy/"/>
    <hyperlink ref="C860" r:id="rId860" display="https://youtu.be/WZLmrd2Cvtg"/>
    <hyperlink ref="F860" r:id="rId2" display="https://files.afu.se/Downloads/Transcripts/0%20-%20Government/USA%20-%20NASA%20Kennedy/"/>
    <hyperlink ref="C861" r:id="rId861" display="https://youtu.be/hr1XTLC9uqw"/>
    <hyperlink ref="F861" r:id="rId2" display="https://files.afu.se/Downloads/Transcripts/0%20-%20Government/USA%20-%20NASA%20Kennedy/"/>
    <hyperlink ref="C862" r:id="rId862" display="https://youtu.be/K5sSK4MK6lQ"/>
    <hyperlink ref="F862" r:id="rId2" display="https://files.afu.se/Downloads/Transcripts/0%20-%20Government/USA%20-%20NASA%20Kennedy/"/>
    <hyperlink ref="C863" r:id="rId863" display="https://youtu.be/ZbApD6niDiA"/>
    <hyperlink ref="F863" r:id="rId2" display="https://files.afu.se/Downloads/Transcripts/0%20-%20Government/USA%20-%20NASA%20Kennedy/"/>
    <hyperlink ref="C864" r:id="rId864" display="https://youtu.be/Ia47odj1BlQ"/>
    <hyperlink ref="F864" r:id="rId2" display="https://files.afu.se/Downloads/Transcripts/0%20-%20Government/USA%20-%20NASA%20Kennedy/"/>
    <hyperlink ref="C865" r:id="rId865" display="https://youtu.be/VPEWKBo_wco"/>
    <hyperlink ref="F865" r:id="rId2" display="https://files.afu.se/Downloads/Transcripts/0%20-%20Government/USA%20-%20NASA%20Kennedy/"/>
    <hyperlink ref="C866" r:id="rId866" display="https://youtu.be/E1z_W8de_s8"/>
    <hyperlink ref="F866" r:id="rId2" display="https://files.afu.se/Downloads/Transcripts/0%20-%20Government/USA%20-%20NASA%20Kennedy/"/>
    <hyperlink ref="C867" r:id="rId867" display="https://youtu.be/yEOCq6KcwXo"/>
    <hyperlink ref="F867" r:id="rId2" display="https://files.afu.se/Downloads/Transcripts/0%20-%20Government/USA%20-%20NASA%20Kennedy/"/>
    <hyperlink ref="C868" r:id="rId868" display="https://youtu.be/q422ZkLmcZo"/>
    <hyperlink ref="F868" r:id="rId2" display="https://files.afu.se/Downloads/Transcripts/0%20-%20Government/USA%20-%20NASA%20Kennedy/"/>
    <hyperlink ref="C869" r:id="rId869" display="https://youtu.be/ss0axWCy6vU"/>
    <hyperlink ref="F869" r:id="rId2" display="https://files.afu.se/Downloads/Transcripts/0%20-%20Government/USA%20-%20NASA%20Kennedy/"/>
    <hyperlink ref="C870" r:id="rId870" display="https://youtu.be/n_kIH58cxv8"/>
    <hyperlink ref="F870" r:id="rId2" display="https://files.afu.se/Downloads/Transcripts/0%20-%20Government/USA%20-%20NASA%20Kennedy/"/>
    <hyperlink ref="C871" r:id="rId871" display="https://youtu.be/FGVRNRZXzME"/>
    <hyperlink ref="F871" r:id="rId2" display="https://files.afu.se/Downloads/Transcripts/0%20-%20Government/USA%20-%20NASA%20Kennedy/"/>
    <hyperlink ref="C872" r:id="rId872" display="https://youtu.be/rRyeTkE4glM"/>
    <hyperlink ref="F872" r:id="rId2" display="https://files.afu.se/Downloads/Transcripts/0%20-%20Government/USA%20-%20NASA%20Kennedy/"/>
    <hyperlink ref="C873" r:id="rId873" display="https://youtu.be/flX8HXX99nc"/>
    <hyperlink ref="F873" r:id="rId2" display="https://files.afu.se/Downloads/Transcripts/0%20-%20Government/USA%20-%20NASA%20Kennedy/"/>
    <hyperlink ref="C874" r:id="rId874" display="https://youtu.be/5bkIcffhcUw"/>
    <hyperlink ref="F874" r:id="rId2" display="https://files.afu.se/Downloads/Transcripts/0%20-%20Government/USA%20-%20NASA%20Kennedy/"/>
    <hyperlink ref="C875" r:id="rId875" display="https://youtu.be/UjIf8zUSy-w"/>
    <hyperlink ref="F875" r:id="rId2" display="https://files.afu.se/Downloads/Transcripts/0%20-%20Government/USA%20-%20NASA%20Kennedy/"/>
    <hyperlink ref="C876" r:id="rId876" display="https://youtu.be/QgFszVWvfd0"/>
    <hyperlink ref="F876" r:id="rId2" display="https://files.afu.se/Downloads/Transcripts/0%20-%20Government/USA%20-%20NASA%20Kennedy/"/>
    <hyperlink ref="C877" r:id="rId877" display="https://youtu.be/pAiN3VGxB1Q"/>
    <hyperlink ref="F877" r:id="rId2" display="https://files.afu.se/Downloads/Transcripts/0%20-%20Government/USA%20-%20NASA%20Kennedy/"/>
    <hyperlink ref="C878" r:id="rId878" display="https://youtu.be/5BBgZmEX3Ps"/>
    <hyperlink ref="F878" r:id="rId2" display="https://files.afu.se/Downloads/Transcripts/0%20-%20Government/USA%20-%20NASA%20Kennedy/"/>
    <hyperlink ref="C879" r:id="rId879" display="https://youtu.be/hh5WaiZTK0k"/>
    <hyperlink ref="F879" r:id="rId2" display="https://files.afu.se/Downloads/Transcripts/0%20-%20Government/USA%20-%20NASA%20Kennedy/"/>
    <hyperlink ref="C880" r:id="rId880" display="https://youtu.be/68M2uKAA0v4"/>
    <hyperlink ref="F880" r:id="rId2" display="https://files.afu.se/Downloads/Transcripts/0%20-%20Government/USA%20-%20NASA%20Kennedy/"/>
    <hyperlink ref="C881" r:id="rId881" display="https://youtu.be/tCHAr5uyHV4"/>
    <hyperlink ref="F881" r:id="rId2" display="https://files.afu.se/Downloads/Transcripts/0%20-%20Government/USA%20-%20NASA%20Kennedy/"/>
    <hyperlink ref="C882" r:id="rId882" display="https://youtu.be/FTytXb0R0Yk"/>
    <hyperlink ref="F882" r:id="rId2" display="https://files.afu.se/Downloads/Transcripts/0%20-%20Government/USA%20-%20NASA%20Kennedy/"/>
    <hyperlink ref="C883" r:id="rId883" display="https://youtu.be/kXqNx00E5qQ"/>
    <hyperlink ref="F883" r:id="rId2" display="https://files.afu.se/Downloads/Transcripts/0%20-%20Government/USA%20-%20NASA%20Kennedy/"/>
    <hyperlink ref="C884" r:id="rId884" display="https://youtu.be/mjcepGVKtso"/>
    <hyperlink ref="F884" r:id="rId2" display="https://files.afu.se/Downloads/Transcripts/0%20-%20Government/USA%20-%20NASA%20Kennedy/"/>
    <hyperlink ref="C885" r:id="rId885" display="https://youtu.be/mTYFOX7pmXI"/>
    <hyperlink ref="F885" r:id="rId2" display="https://files.afu.se/Downloads/Transcripts/0%20-%20Government/USA%20-%20NASA%20Kennedy/"/>
    <hyperlink ref="C886" r:id="rId886" display="https://youtu.be/hcpdJM5s4VQ"/>
    <hyperlink ref="F886" r:id="rId2" display="https://files.afu.se/Downloads/Transcripts/0%20-%20Government/USA%20-%20NASA%20Kennedy/"/>
    <hyperlink ref="C887" r:id="rId887" display="https://youtu.be/RvIpqI41_eU"/>
    <hyperlink ref="F887" r:id="rId2" display="https://files.afu.se/Downloads/Transcripts/0%20-%20Government/USA%20-%20NASA%20Kennedy/"/>
    <hyperlink ref="C888" r:id="rId888" display="https://youtu.be/RKZ4zmAOI1A"/>
    <hyperlink ref="F888" r:id="rId2" display="https://files.afu.se/Downloads/Transcripts/0%20-%20Government/USA%20-%20NASA%20Kennedy/"/>
    <hyperlink ref="C889" r:id="rId889" display="https://youtu.be/aQ_1W7xIHvc"/>
    <hyperlink ref="F889" r:id="rId2" display="https://files.afu.se/Downloads/Transcripts/0%20-%20Government/USA%20-%20NASA%20Kennedy/"/>
    <hyperlink ref="C890" r:id="rId890" display="https://youtu.be/CgfJFKwvDDI"/>
    <hyperlink ref="F890" r:id="rId2" display="https://files.afu.se/Downloads/Transcripts/0%20-%20Government/USA%20-%20NASA%20Kennedy/"/>
    <hyperlink ref="C891" r:id="rId891" display="https://youtu.be/CBcEtOcWkq8"/>
    <hyperlink ref="F891" r:id="rId2" display="https://files.afu.se/Downloads/Transcripts/0%20-%20Government/USA%20-%20NASA%20Kennedy/"/>
    <hyperlink ref="C892" r:id="rId892" display="https://youtu.be/D_723qwjULM"/>
    <hyperlink ref="F892" r:id="rId2" display="https://files.afu.se/Downloads/Transcripts/0%20-%20Government/USA%20-%20NASA%20Kennedy/"/>
    <hyperlink ref="C893" r:id="rId893" display="https://youtu.be/HDW3cxexUPY"/>
    <hyperlink ref="F893" r:id="rId2" display="https://files.afu.se/Downloads/Transcripts/0%20-%20Government/USA%20-%20NASA%20Kennedy/"/>
    <hyperlink ref="C894" r:id="rId894" display="https://youtu.be/blppA8tsBW0"/>
    <hyperlink ref="F894" r:id="rId2" display="https://files.afu.se/Downloads/Transcripts/0%20-%20Government/USA%20-%20NASA%20Kennedy/"/>
    <hyperlink ref="C895" r:id="rId895" display="https://youtu.be/10XHrKlQJ0g"/>
    <hyperlink ref="F895" r:id="rId2" display="https://files.afu.se/Downloads/Transcripts/0%20-%20Government/USA%20-%20NASA%20Kennedy/"/>
    <hyperlink ref="C896" r:id="rId896" display="https://youtu.be/LPhCiflVZXs"/>
    <hyperlink ref="F896" r:id="rId2" display="https://files.afu.se/Downloads/Transcripts/0%20-%20Government/USA%20-%20NASA%20Kennedy/"/>
    <hyperlink ref="C897" r:id="rId897" display="https://youtu.be/2ASKYNyF15k"/>
    <hyperlink ref="F897" r:id="rId2" display="https://files.afu.se/Downloads/Transcripts/0%20-%20Government/USA%20-%20NASA%20Kennedy/"/>
    <hyperlink ref="C898" r:id="rId898" display="https://youtu.be/CYjfI7ffF6w"/>
    <hyperlink ref="F898" r:id="rId2" display="https://files.afu.se/Downloads/Transcripts/0%20-%20Government/USA%20-%20NASA%20Kennedy/"/>
    <hyperlink ref="C899" r:id="rId899" display="https://youtu.be/OET3e3XTfeg"/>
    <hyperlink ref="F899" r:id="rId2" display="https://files.afu.se/Downloads/Transcripts/0%20-%20Government/USA%20-%20NASA%20Kennedy/"/>
    <hyperlink ref="C900" r:id="rId900" display="https://youtu.be/LGgyO6LhAe8"/>
    <hyperlink ref="F900" r:id="rId2" display="https://files.afu.se/Downloads/Transcripts/0%20-%20Government/USA%20-%20NASA%20Kennedy/"/>
    <hyperlink ref="C901" r:id="rId901" display="https://youtu.be/ysH86oXWyAs"/>
    <hyperlink ref="F901" r:id="rId2" display="https://files.afu.se/Downloads/Transcripts/0%20-%20Government/USA%20-%20NASA%20Kennedy/"/>
    <hyperlink ref="C902" r:id="rId902" display="https://youtu.be/q_WlqPcxa8M"/>
    <hyperlink ref="F902" r:id="rId2" display="https://files.afu.se/Downloads/Transcripts/0%20-%20Government/USA%20-%20NASA%20Kennedy/"/>
    <hyperlink ref="C903" r:id="rId903" display="https://youtu.be/cBCB-I5HMPE"/>
    <hyperlink ref="F903" r:id="rId2" display="https://files.afu.se/Downloads/Transcripts/0%20-%20Government/USA%20-%20NASA%20Kennedy/"/>
    <hyperlink ref="C904" r:id="rId904" display="https://youtu.be/-49ssHebxyw"/>
    <hyperlink ref="F904" r:id="rId2" display="https://files.afu.se/Downloads/Transcripts/0%20-%20Government/USA%20-%20NASA%20Kennedy/"/>
    <hyperlink ref="C905" r:id="rId905" display="https://youtu.be/6KTnohSNCsI"/>
    <hyperlink ref="F905" r:id="rId2" display="https://files.afu.se/Downloads/Transcripts/0%20-%20Government/USA%20-%20NASA%20Kennedy/"/>
    <hyperlink ref="C906" r:id="rId906" display="https://youtu.be/GUr5jNa5Mmc"/>
    <hyperlink ref="F906" r:id="rId2" display="https://files.afu.se/Downloads/Transcripts/0%20-%20Government/USA%20-%20NASA%20Kennedy/"/>
    <hyperlink ref="C907" r:id="rId907" display="https://youtu.be/S4Hn5ags6ho"/>
    <hyperlink ref="F907" r:id="rId2" display="https://files.afu.se/Downloads/Transcripts/0%20-%20Government/USA%20-%20NASA%20Kennedy/"/>
    <hyperlink ref="C908" r:id="rId908" display="https://youtu.be/NOLY3qdW7Tc"/>
    <hyperlink ref="F908" r:id="rId2" display="https://files.afu.se/Downloads/Transcripts/0%20-%20Government/USA%20-%20NASA%20Kennedy/"/>
    <hyperlink ref="C909" r:id="rId909" display="https://youtu.be/efjf37ZPYz4"/>
    <hyperlink ref="F909" r:id="rId2" display="https://files.afu.se/Downloads/Transcripts/0%20-%20Government/USA%20-%20NASA%20Kennedy/"/>
    <hyperlink ref="C910" r:id="rId910" display="https://youtu.be/vDKa4ut2kCs"/>
    <hyperlink ref="F910" r:id="rId2" display="https://files.afu.se/Downloads/Transcripts/0%20-%20Government/USA%20-%20NASA%20Kennedy/"/>
    <hyperlink ref="C911" r:id="rId911" display="https://youtu.be/sWU0R7ChCBY"/>
    <hyperlink ref="F911" r:id="rId2" display="https://files.afu.se/Downloads/Transcripts/0%20-%20Government/USA%20-%20NASA%20Kennedy/"/>
    <hyperlink ref="C912" r:id="rId912" display="https://youtu.be/h62PXxGEtpE"/>
    <hyperlink ref="F912" r:id="rId2" display="https://files.afu.se/Downloads/Transcripts/0%20-%20Government/USA%20-%20NASA%20Kennedy/"/>
    <hyperlink ref="C913" r:id="rId913" display="https://youtu.be/my-D9yvBmbg"/>
    <hyperlink ref="F913" r:id="rId2" display="https://files.afu.se/Downloads/Transcripts/0%20-%20Government/USA%20-%20NASA%20Kennedy/"/>
    <hyperlink ref="C914" r:id="rId914" display="https://youtu.be/ihF8PES8O20"/>
    <hyperlink ref="F914" r:id="rId2" display="https://files.afu.se/Downloads/Transcripts/0%20-%20Government/USA%20-%20NASA%20Kennedy/"/>
    <hyperlink ref="C915" r:id="rId915" display="https://youtu.be/WJ4joZSPNtg"/>
    <hyperlink ref="F915" r:id="rId2" display="https://files.afu.se/Downloads/Transcripts/0%20-%20Government/USA%20-%20NASA%20Kennedy/"/>
    <hyperlink ref="C916" r:id="rId916" display="https://youtu.be/ymbByvEeBeQ"/>
    <hyperlink ref="F916" r:id="rId2" display="https://files.afu.se/Downloads/Transcripts/0%20-%20Government/USA%20-%20NASA%20Kennedy/"/>
    <hyperlink ref="C917" r:id="rId917" display="https://youtu.be/ehnh99dLxVg"/>
    <hyperlink ref="F917" r:id="rId2" display="https://files.afu.se/Downloads/Transcripts/0%20-%20Government/USA%20-%20NASA%20Kennedy/"/>
    <hyperlink ref="C918" r:id="rId918" display="https://youtu.be/x7IHtDLDEIE"/>
    <hyperlink ref="F918" r:id="rId2" display="https://files.afu.se/Downloads/Transcripts/0%20-%20Government/USA%20-%20NASA%20Kennedy/"/>
    <hyperlink ref="C919" r:id="rId919" display="https://youtu.be/B-5CffGXFlo"/>
    <hyperlink ref="F919" r:id="rId2" display="https://files.afu.se/Downloads/Transcripts/0%20-%20Government/USA%20-%20NASA%20Kennedy/"/>
    <hyperlink ref="C920" r:id="rId920" display="https://youtu.be/aUMXCZVmL0Q"/>
    <hyperlink ref="F920" r:id="rId2" display="https://files.afu.se/Downloads/Transcripts/0%20-%20Government/USA%20-%20NASA%20Kennedy/"/>
    <hyperlink ref="C921" r:id="rId921" display="https://youtu.be/kImDl0IafSI"/>
    <hyperlink ref="F921" r:id="rId2" display="https://files.afu.se/Downloads/Transcripts/0%20-%20Government/USA%20-%20NASA%20Kennedy/"/>
    <hyperlink ref="C922" r:id="rId922" display="https://youtu.be/LNI9Lc_E7ak"/>
    <hyperlink ref="F922" r:id="rId2" display="https://files.afu.se/Downloads/Transcripts/0%20-%20Government/USA%20-%20NASA%20Kennedy/"/>
    <hyperlink ref="C923" r:id="rId923" display="https://youtu.be/o4OBKOlgmfo"/>
    <hyperlink ref="F923" r:id="rId2" display="https://files.afu.se/Downloads/Transcripts/0%20-%20Government/USA%20-%20NASA%20Kennedy/"/>
    <hyperlink ref="C924" r:id="rId924" display="https://youtu.be/5gLfrTCk8XU"/>
    <hyperlink ref="F924" r:id="rId2" display="https://files.afu.se/Downloads/Transcripts/0%20-%20Government/USA%20-%20NASA%20Kennedy/"/>
    <hyperlink ref="C925" r:id="rId925" display="https://youtu.be/c3OUi8uuRKs"/>
    <hyperlink ref="F925" r:id="rId2" display="https://files.afu.se/Downloads/Transcripts/0%20-%20Government/USA%20-%20NASA%20Kennedy/"/>
    <hyperlink ref="C926" r:id="rId926" display="https://youtu.be/9CBU_wzHWWI"/>
    <hyperlink ref="F926" r:id="rId2" display="https://files.afu.se/Downloads/Transcripts/0%20-%20Government/USA%20-%20NASA%20Kennedy/"/>
    <hyperlink ref="C927" r:id="rId927" display="https://youtu.be/ArkuFW-2JR4"/>
    <hyperlink ref="F927" r:id="rId2" display="https://files.afu.se/Downloads/Transcripts/0%20-%20Government/USA%20-%20NASA%20Kennedy/"/>
    <hyperlink ref="C928" r:id="rId928" display="https://youtu.be/V0cozFTLmb4"/>
    <hyperlink ref="F928" r:id="rId2" display="https://files.afu.se/Downloads/Transcripts/0%20-%20Government/USA%20-%20NASA%20Kennedy/"/>
    <hyperlink ref="C929" r:id="rId929" display="https://youtu.be/KczNvC82Z9A"/>
    <hyperlink ref="F929" r:id="rId2" display="https://files.afu.se/Downloads/Transcripts/0%20-%20Government/USA%20-%20NASA%20Kennedy/"/>
    <hyperlink ref="C930" r:id="rId930" display="https://youtu.be/yxYoo62Vq6M"/>
    <hyperlink ref="F930" r:id="rId2" display="https://files.afu.se/Downloads/Transcripts/0%20-%20Government/USA%20-%20NASA%20Kennedy/"/>
    <hyperlink ref="C931" r:id="rId931" display="https://youtu.be/O3Lj_ubfO5w"/>
    <hyperlink ref="F931" r:id="rId2" display="https://files.afu.se/Downloads/Transcripts/0%20-%20Government/USA%20-%20NASA%20Kennedy/"/>
    <hyperlink ref="C932" r:id="rId932" display="https://youtu.be/0Z_SlfPgCvw"/>
    <hyperlink ref="F932" r:id="rId2" display="https://files.afu.se/Downloads/Transcripts/0%20-%20Government/USA%20-%20NASA%20Kennedy/"/>
    <hyperlink ref="C933" r:id="rId933" display="https://youtu.be/0DMTjfHyGxU"/>
    <hyperlink ref="F933" r:id="rId2" display="https://files.afu.se/Downloads/Transcripts/0%20-%20Government/USA%20-%20NASA%20Kennedy/"/>
    <hyperlink ref="C934" r:id="rId934" display="https://youtu.be/dsg6WR4BWhw"/>
    <hyperlink ref="F934" r:id="rId2" display="https://files.afu.se/Downloads/Transcripts/0%20-%20Government/USA%20-%20NASA%20Kennedy/"/>
    <hyperlink ref="C935" r:id="rId935" display="https://youtu.be/d19WEJqt008"/>
    <hyperlink ref="F935" r:id="rId2" display="https://files.afu.se/Downloads/Transcripts/0%20-%20Government/USA%20-%20NASA%20Kennedy/"/>
    <hyperlink ref="C936" r:id="rId936" display="https://youtu.be/_ayXPlsQf6M"/>
    <hyperlink ref="F936" r:id="rId2" display="https://files.afu.se/Downloads/Transcripts/0%20-%20Government/USA%20-%20NASA%20Kennedy/"/>
    <hyperlink ref="C937" r:id="rId937" display="https://youtu.be/FRqLNdwsPBM"/>
    <hyperlink ref="F937" r:id="rId2" display="https://files.afu.se/Downloads/Transcripts/0%20-%20Government/USA%20-%20NASA%20Kennedy/"/>
    <hyperlink ref="C938" r:id="rId938" display="https://youtu.be/PFgOXMrm2mQ"/>
    <hyperlink ref="F938" r:id="rId2" display="https://files.afu.se/Downloads/Transcripts/0%20-%20Government/USA%20-%20NASA%20Kennedy/"/>
    <hyperlink ref="C939" r:id="rId939" display="https://youtu.be/SjX3Q5GUmrs"/>
    <hyperlink ref="F939" r:id="rId2" display="https://files.afu.se/Downloads/Transcripts/0%20-%20Government/USA%20-%20NASA%20Kennedy/"/>
    <hyperlink ref="C940" r:id="rId940" display="https://youtu.be/12We_GFYtFg"/>
    <hyperlink ref="F940" r:id="rId2" display="https://files.afu.se/Downloads/Transcripts/0%20-%20Government/USA%20-%20NASA%20Kennedy/"/>
    <hyperlink ref="C941" r:id="rId941" display="https://youtu.be/2ca874kxzak"/>
    <hyperlink ref="F941" r:id="rId2" display="https://files.afu.se/Downloads/Transcripts/0%20-%20Government/USA%20-%20NASA%20Kennedy/"/>
    <hyperlink ref="C942" r:id="rId942" display="https://youtu.be/Qm03NizaKKs"/>
    <hyperlink ref="F942" r:id="rId2" display="https://files.afu.se/Downloads/Transcripts/0%20-%20Government/USA%20-%20NASA%20Kennedy/"/>
    <hyperlink ref="C943" r:id="rId943" display="https://youtu.be/6UUoeU8TzsE"/>
    <hyperlink ref="F943" r:id="rId2" display="https://files.afu.se/Downloads/Transcripts/0%20-%20Government/USA%20-%20NASA%20Kennedy/"/>
    <hyperlink ref="C944" r:id="rId944" display="https://youtu.be/0uVGH5_DFxg"/>
    <hyperlink ref="F944" r:id="rId2" display="https://files.afu.se/Downloads/Transcripts/0%20-%20Government/USA%20-%20NASA%20Kennedy/"/>
    <hyperlink ref="C945" r:id="rId945" display="https://youtu.be/JIi4JPEpPYA"/>
    <hyperlink ref="F945" r:id="rId2" display="https://files.afu.se/Downloads/Transcripts/0%20-%20Government/USA%20-%20NASA%20Kennedy/"/>
    <hyperlink ref="C946" r:id="rId946" display="https://youtu.be/uGdf7rh9kms"/>
    <hyperlink ref="F946" r:id="rId2" display="https://files.afu.se/Downloads/Transcripts/0%20-%20Government/USA%20-%20NASA%20Kennedy/"/>
    <hyperlink ref="C947" r:id="rId947" display="https://youtu.be/-kQHpRzIsdk"/>
    <hyperlink ref="F947" r:id="rId2" display="https://files.afu.se/Downloads/Transcripts/0%20-%20Government/USA%20-%20NASA%20Kennedy/"/>
    <hyperlink ref="C948" r:id="rId948" display="https://youtu.be/u0jJ0MiP1RA"/>
    <hyperlink ref="F948" r:id="rId2" display="https://files.afu.se/Downloads/Transcripts/0%20-%20Government/USA%20-%20NASA%20Kennedy/"/>
    <hyperlink ref="C949" r:id="rId949" display="https://youtu.be/hjL6lg0Ydvg"/>
    <hyperlink ref="F949" r:id="rId2" display="https://files.afu.se/Downloads/Transcripts/0%20-%20Government/USA%20-%20NASA%20Kennedy/"/>
    <hyperlink ref="C950" r:id="rId950" display="https://youtu.be/jd80Yu_DAYg"/>
    <hyperlink ref="F950" r:id="rId2" display="https://files.afu.se/Downloads/Transcripts/0%20-%20Government/USA%20-%20NASA%20Kennedy/"/>
    <hyperlink ref="C951" r:id="rId951" display="https://youtu.be/dxUD6B2jKE0"/>
    <hyperlink ref="F951" r:id="rId2" display="https://files.afu.se/Downloads/Transcripts/0%20-%20Government/USA%20-%20NASA%20Kennedy/"/>
    <hyperlink ref="C952" r:id="rId952" display="https://youtu.be/y3L4eW3W9R8"/>
    <hyperlink ref="F952" r:id="rId2" display="https://files.afu.se/Downloads/Transcripts/0%20-%20Government/USA%20-%20NASA%20Kennedy/"/>
    <hyperlink ref="C953" r:id="rId953" display="https://youtu.be/jSCNWASzkvw"/>
    <hyperlink ref="F953" r:id="rId2" display="https://files.afu.se/Downloads/Transcripts/0%20-%20Government/USA%20-%20NASA%20Kennedy/"/>
    <hyperlink ref="C954" r:id="rId954" display="https://youtu.be/kjSD6DWk0OM"/>
    <hyperlink ref="F954" r:id="rId2" display="https://files.afu.se/Downloads/Transcripts/0%20-%20Government/USA%20-%20NASA%20Kennedy/"/>
    <hyperlink ref="C955" r:id="rId955" display="https://youtu.be/etn8xzF3iz0"/>
    <hyperlink ref="F955" r:id="rId2" display="https://files.afu.se/Downloads/Transcripts/0%20-%20Government/USA%20-%20NASA%20Kennedy/"/>
    <hyperlink ref="C956" r:id="rId956" display="https://youtu.be/cS7j2Go5Tw8"/>
    <hyperlink ref="F956" r:id="rId2" display="https://files.afu.se/Downloads/Transcripts/0%20-%20Government/USA%20-%20NASA%20Kennedy/"/>
    <hyperlink ref="C957" r:id="rId957" display="https://youtu.be/30MypTraV8c"/>
    <hyperlink ref="F957" r:id="rId2" display="https://files.afu.se/Downloads/Transcripts/0%20-%20Government/USA%20-%20NASA%20Kennedy/"/>
    <hyperlink ref="C958" r:id="rId958" display="https://youtu.be/M5feIiW0WGU"/>
    <hyperlink ref="F958" r:id="rId2" display="https://files.afu.se/Downloads/Transcripts/0%20-%20Government/USA%20-%20NASA%20Kennedy/"/>
    <hyperlink ref="C959" r:id="rId959" display="https://youtu.be/dSXoUvdJulU"/>
    <hyperlink ref="F959" r:id="rId2" display="https://files.afu.se/Downloads/Transcripts/0%20-%20Government/USA%20-%20NASA%20Kennedy/"/>
    <hyperlink ref="C960" r:id="rId960" display="https://youtu.be/P30SwoVJvhw"/>
    <hyperlink ref="F960" r:id="rId2" display="https://files.afu.se/Downloads/Transcripts/0%20-%20Government/USA%20-%20NASA%20Kennedy/"/>
    <hyperlink ref="C961" r:id="rId961" display="https://youtu.be/iIO2TyF6JKk"/>
    <hyperlink ref="F961" r:id="rId2" display="https://files.afu.se/Downloads/Transcripts/0%20-%20Government/USA%20-%20NASA%20Kennedy/"/>
    <hyperlink ref="C962" r:id="rId962" display="https://youtu.be/sFdN7MQ5yDs"/>
    <hyperlink ref="F962" r:id="rId2" display="https://files.afu.se/Downloads/Transcripts/0%20-%20Government/USA%20-%20NASA%20Kennedy/"/>
    <hyperlink ref="C963" r:id="rId963" display="https://youtu.be/cIZpsO7OC0g"/>
    <hyperlink ref="F963" r:id="rId2" display="https://files.afu.se/Downloads/Transcripts/0%20-%20Government/USA%20-%20NASA%20Kennedy/"/>
    <hyperlink ref="C964" r:id="rId964" display="https://youtu.be/XTsQAV17gWs"/>
    <hyperlink ref="F964" r:id="rId2" display="https://files.afu.se/Downloads/Transcripts/0%20-%20Government/USA%20-%20NASA%20Kennedy/"/>
    <hyperlink ref="C965" r:id="rId965" display="https://youtu.be/TSGrcpgzRIE"/>
    <hyperlink ref="F965" r:id="rId2" display="https://files.afu.se/Downloads/Transcripts/0%20-%20Government/USA%20-%20NASA%20Kennedy/"/>
    <hyperlink ref="C966" r:id="rId966" display="https://youtu.be/dUF0ePGW-0E"/>
    <hyperlink ref="F966" r:id="rId2" display="https://files.afu.se/Downloads/Transcripts/0%20-%20Government/USA%20-%20NASA%20Kennedy/"/>
    <hyperlink ref="C967" r:id="rId967" display="https://youtu.be/ZmHODhOg6x0"/>
    <hyperlink ref="F967" r:id="rId2" display="https://files.afu.se/Downloads/Transcripts/0%20-%20Government/USA%20-%20NASA%20Kennedy/"/>
    <hyperlink ref="C968" r:id="rId968" display="https://youtu.be/2PWVfUqgoso"/>
    <hyperlink ref="F968" r:id="rId2" display="https://files.afu.se/Downloads/Transcripts/0%20-%20Government/USA%20-%20NASA%20Kennedy/"/>
    <hyperlink ref="C969" r:id="rId969" display="https://youtu.be/P5rHs3SOKdo"/>
    <hyperlink ref="F969" r:id="rId2" display="https://files.afu.se/Downloads/Transcripts/0%20-%20Government/USA%20-%20NASA%20Kennedy/"/>
    <hyperlink ref="C970" r:id="rId970" display="https://youtu.be/mYlBabMIesE"/>
    <hyperlink ref="F970" r:id="rId2" display="https://files.afu.se/Downloads/Transcripts/0%20-%20Government/USA%20-%20NASA%20Kennedy/"/>
    <hyperlink ref="C971" r:id="rId971" display="https://youtu.be/ukyeCnrWvGs"/>
    <hyperlink ref="F971" r:id="rId2" display="https://files.afu.se/Downloads/Transcripts/0%20-%20Government/USA%20-%20NASA%20Kennedy/"/>
    <hyperlink ref="C972" r:id="rId972" display="https://youtu.be/aXmfhsMmA44"/>
    <hyperlink ref="F972" r:id="rId2" display="https://files.afu.se/Downloads/Transcripts/0%20-%20Government/USA%20-%20NASA%20Kennedy/"/>
    <hyperlink ref="C973" r:id="rId973" display="https://youtu.be/gxlQqN13fWA"/>
    <hyperlink ref="F973" r:id="rId2" display="https://files.afu.se/Downloads/Transcripts/0%20-%20Government/USA%20-%20NASA%20Kennedy/"/>
    <hyperlink ref="C974" r:id="rId974" display="https://youtu.be/aO0x6Nslwvw"/>
    <hyperlink ref="F974" r:id="rId2" display="https://files.afu.se/Downloads/Transcripts/0%20-%20Government/USA%20-%20NASA%20Kennedy/"/>
    <hyperlink ref="C975" r:id="rId975" display="https://youtu.be/Tg8Cs-MEyRI"/>
    <hyperlink ref="F975" r:id="rId2" display="https://files.afu.se/Downloads/Transcripts/0%20-%20Government/USA%20-%20NASA%20Kennedy/"/>
    <hyperlink ref="C976" r:id="rId976" display="https://youtu.be/Pl3x71-kJGM"/>
    <hyperlink ref="F976" r:id="rId2" display="https://files.afu.se/Downloads/Transcripts/0%20-%20Government/USA%20-%20NASA%20Kennedy/"/>
    <hyperlink ref="C977" r:id="rId977" display="https://youtu.be/Pv2XGNFFTCQ"/>
    <hyperlink ref="F977" r:id="rId2" display="https://files.afu.se/Downloads/Transcripts/0%20-%20Government/USA%20-%20NASA%20Kennedy/"/>
    <hyperlink ref="C978" r:id="rId978" display="https://youtu.be/bxcaCcLhaVI"/>
    <hyperlink ref="F978" r:id="rId2" display="https://files.afu.se/Downloads/Transcripts/0%20-%20Government/USA%20-%20NASA%20Kennedy/"/>
    <hyperlink ref="C979" r:id="rId979" display="https://youtu.be/ORq-iEJXpkY"/>
    <hyperlink ref="F979" r:id="rId2" display="https://files.afu.se/Downloads/Transcripts/0%20-%20Government/USA%20-%20NASA%20Kennedy/"/>
    <hyperlink ref="C980" r:id="rId980" display="https://youtu.be/lLY-w5wgPvw"/>
    <hyperlink ref="F980" r:id="rId2" display="https://files.afu.se/Downloads/Transcripts/0%20-%20Government/USA%20-%20NASA%20Kennedy/"/>
    <hyperlink ref="C981" r:id="rId981" display="https://youtu.be/uHStsxlqwK8"/>
    <hyperlink ref="F981" r:id="rId2" display="https://files.afu.se/Downloads/Transcripts/0%20-%20Government/USA%20-%20NASA%20Kennedy/"/>
    <hyperlink ref="C982" r:id="rId982" display="https://youtu.be/N8zsHN6Hfww"/>
    <hyperlink ref="F982" r:id="rId2" display="https://files.afu.se/Downloads/Transcripts/0%20-%20Government/USA%20-%20NASA%20Kennedy/"/>
    <hyperlink ref="C983" r:id="rId983" display="https://youtu.be/As7GyQ6QTuQ"/>
    <hyperlink ref="F983" r:id="rId2" display="https://files.afu.se/Downloads/Transcripts/0%20-%20Government/USA%20-%20NASA%20Kennedy/"/>
    <hyperlink ref="C984" r:id="rId984" display="https://youtu.be/KIT2pGrLOqc"/>
    <hyperlink ref="F984" r:id="rId2" display="https://files.afu.se/Downloads/Transcripts/0%20-%20Government/USA%20-%20NASA%20Kennedy/"/>
    <hyperlink ref="C985" r:id="rId985" display="https://youtu.be/Q0Ak5mpQXkQ"/>
    <hyperlink ref="F985" r:id="rId2" display="https://files.afu.se/Downloads/Transcripts/0%20-%20Government/USA%20-%20NASA%20Kennedy/"/>
    <hyperlink ref="C986" r:id="rId986" display="https://youtu.be/f1gLEatOSe8"/>
    <hyperlink ref="F986" r:id="rId2" display="https://files.afu.se/Downloads/Transcripts/0%20-%20Government/USA%20-%20NASA%20Kennedy/"/>
    <hyperlink ref="C987" r:id="rId987" display="https://youtu.be/JWnX9TtGVxY"/>
    <hyperlink ref="F987" r:id="rId2" display="https://files.afu.se/Downloads/Transcripts/0%20-%20Government/USA%20-%20NASA%20Kennedy/"/>
    <hyperlink ref="C988" r:id="rId988" display="https://youtu.be/CTVBAsQbF9Q"/>
    <hyperlink ref="F988" r:id="rId2" display="https://files.afu.se/Downloads/Transcripts/0%20-%20Government/USA%20-%20NASA%20Kennedy/"/>
    <hyperlink ref="C989" r:id="rId989" display="https://youtu.be/ro2gcZjxFak"/>
    <hyperlink ref="F989" r:id="rId2" display="https://files.afu.se/Downloads/Transcripts/0%20-%20Government/USA%20-%20NASA%20Kennedy/"/>
    <hyperlink ref="C990" r:id="rId990" display="https://youtu.be/lABnMHy5HUU"/>
    <hyperlink ref="F990" r:id="rId2" display="https://files.afu.se/Downloads/Transcripts/0%20-%20Government/USA%20-%20NASA%20Kennedy/"/>
    <hyperlink ref="C991" r:id="rId991" display="https://youtu.be/cJCjVLEROVw"/>
    <hyperlink ref="F991" r:id="rId2" display="https://files.afu.se/Downloads/Transcripts/0%20-%20Government/USA%20-%20NASA%20Kennedy/"/>
    <hyperlink ref="C992" r:id="rId992" display="https://youtu.be/9QtuhB6fgB8"/>
    <hyperlink ref="F992" r:id="rId2" display="https://files.afu.se/Downloads/Transcripts/0%20-%20Government/USA%20-%20NASA%20Kennedy/"/>
    <hyperlink ref="C993" r:id="rId993" display="https://youtu.be/cc6y_V3YQKU"/>
    <hyperlink ref="F993" r:id="rId2" display="https://files.afu.se/Downloads/Transcripts/0%20-%20Government/USA%20-%20NASA%20Kennedy/"/>
    <hyperlink ref="C994" r:id="rId994" display="https://youtu.be/33BZi6JC5ZU"/>
    <hyperlink ref="F994" r:id="rId2" display="https://files.afu.se/Downloads/Transcripts/0%20-%20Government/USA%20-%20NASA%20Kennedy/"/>
    <hyperlink ref="C995" r:id="rId995" display="https://youtu.be/R9eFWwLGYPM"/>
    <hyperlink ref="F995" r:id="rId2" display="https://files.afu.se/Downloads/Transcripts/0%20-%20Government/USA%20-%20NASA%20Kennedy/"/>
    <hyperlink ref="C996" r:id="rId996" display="https://youtu.be/2ngNQRGqdWs"/>
    <hyperlink ref="F996" r:id="rId2" display="https://files.afu.se/Downloads/Transcripts/0%20-%20Government/USA%20-%20NASA%20Kennedy/"/>
    <hyperlink ref="C997" r:id="rId997" display="https://youtu.be/6j77Nabl6c8"/>
    <hyperlink ref="F997" r:id="rId2" display="https://files.afu.se/Downloads/Transcripts/0%20-%20Government/USA%20-%20NASA%20Kennedy/"/>
    <hyperlink ref="C998" r:id="rId998" display="https://youtu.be/TxQKihqPiOc"/>
    <hyperlink ref="F998" r:id="rId2" display="https://files.afu.se/Downloads/Transcripts/0%20-%20Government/USA%20-%20NASA%20Kennedy/"/>
    <hyperlink ref="C999" r:id="rId999" display="https://youtu.be/FzB6dNLoWIQ"/>
    <hyperlink ref="F999" r:id="rId2" display="https://files.afu.se/Downloads/Transcripts/0%20-%20Government/USA%20-%20NASA%20Kennedy/"/>
    <hyperlink ref="C1000" r:id="rId1000" display="https://youtu.be/wa3zEERxSGU"/>
    <hyperlink ref="F1000" r:id="rId2" display="https://files.afu.se/Downloads/Transcripts/0%20-%20Government/USA%20-%20NASA%20Kennedy/"/>
    <hyperlink ref="C1001" r:id="rId1001" display="https://youtu.be/gIfPK7-9aR4"/>
    <hyperlink ref="F1001" r:id="rId2" display="https://files.afu.se/Downloads/Transcripts/0%20-%20Government/USA%20-%20NASA%20Kennedy/"/>
    <hyperlink ref="C1002" r:id="rId1002" display="https://youtu.be/LoItSvCBN0U"/>
    <hyperlink ref="F1002" r:id="rId2" display="https://files.afu.se/Downloads/Transcripts/0%20-%20Government/USA%20-%20NASA%20Kennedy/"/>
    <hyperlink ref="C1003" r:id="rId1003" display="https://youtu.be/tdmZAvwznOU"/>
    <hyperlink ref="F1003" r:id="rId2" display="https://files.afu.se/Downloads/Transcripts/0%20-%20Government/USA%20-%20NASA%20Kennedy/"/>
    <hyperlink ref="C1004" r:id="rId1004" display="https://youtu.be/TDYK_qW6qHE"/>
    <hyperlink ref="F1004" r:id="rId2" display="https://files.afu.se/Downloads/Transcripts/0%20-%20Government/USA%20-%20NASA%20Kennedy/"/>
    <hyperlink ref="C1005" r:id="rId1005" display="https://youtu.be/u1rOp66VqpU"/>
    <hyperlink ref="F1005" r:id="rId2" display="https://files.afu.se/Downloads/Transcripts/0%20-%20Government/USA%20-%20NASA%20Kennedy/"/>
    <hyperlink ref="C1006" r:id="rId1006" display="https://youtu.be/6Hn8qnsucwo"/>
    <hyperlink ref="F1006" r:id="rId2" display="https://files.afu.se/Downloads/Transcripts/0%20-%20Government/USA%20-%20NASA%20Kennedy/"/>
    <hyperlink ref="C1007" r:id="rId1007" display="https://youtu.be/PTsI3Io_hsI"/>
    <hyperlink ref="F1007" r:id="rId2" display="https://files.afu.se/Downloads/Transcripts/0%20-%20Government/USA%20-%20NASA%20Kennedy/"/>
    <hyperlink ref="C1008" r:id="rId1008" display="https://youtu.be/9yRK_7OT6Do"/>
    <hyperlink ref="F1008" r:id="rId2" display="https://files.afu.se/Downloads/Transcripts/0%20-%20Government/USA%20-%20NASA%20Kennedy/"/>
    <hyperlink ref="C1009" r:id="rId1009" display="https://youtu.be/SYsGr9wqdvA"/>
    <hyperlink ref="F1009" r:id="rId2" display="https://files.afu.se/Downloads/Transcripts/0%20-%20Government/USA%20-%20NASA%20Kennedy/"/>
    <hyperlink ref="C1010" r:id="rId1010" display="https://youtu.be/yDHOo5dGYyk"/>
    <hyperlink ref="F1010" r:id="rId2" display="https://files.afu.se/Downloads/Transcripts/0%20-%20Government/USA%20-%20NASA%20Kennedy/"/>
    <hyperlink ref="C1011" r:id="rId1011" display="https://youtu.be/_0TP_ySwEC0"/>
    <hyperlink ref="F1011" r:id="rId2" display="https://files.afu.se/Downloads/Transcripts/0%20-%20Government/USA%20-%20NASA%20Kennedy/"/>
    <hyperlink ref="C1012" r:id="rId1012" display="https://youtu.be/0rUOMHpWWng"/>
    <hyperlink ref="F1012" r:id="rId2" display="https://files.afu.se/Downloads/Transcripts/0%20-%20Government/USA%20-%20NASA%20Kennedy/"/>
    <hyperlink ref="C1013" r:id="rId1013" display="https://youtu.be/DgDM5v7S7sc"/>
    <hyperlink ref="F1013" r:id="rId2" display="https://files.afu.se/Downloads/Transcripts/0%20-%20Government/USA%20-%20NASA%20Kennedy/"/>
    <hyperlink ref="C1014" r:id="rId1014" display="https://youtu.be/Mxcw5t7Z2Ok"/>
    <hyperlink ref="F1014" r:id="rId2" display="https://files.afu.se/Downloads/Transcripts/0%20-%20Government/USA%20-%20NASA%20Kennedy/"/>
    <hyperlink ref="C1015" r:id="rId1015" display="https://youtu.be/BjCsjU-ZYQ0"/>
    <hyperlink ref="F1015" r:id="rId2" display="https://files.afu.se/Downloads/Transcripts/0%20-%20Government/USA%20-%20NASA%20Kennedy/"/>
    <hyperlink ref="C1016" r:id="rId1016" display="https://youtu.be/MVo1YguUsVE"/>
    <hyperlink ref="F1016" r:id="rId2" display="https://files.afu.se/Downloads/Transcripts/0%20-%20Government/USA%20-%20NASA%20Kennedy/"/>
    <hyperlink ref="C1017" r:id="rId1017" display="https://youtu.be/2XUL3edY3wI"/>
    <hyperlink ref="F1017" r:id="rId2" display="https://files.afu.se/Downloads/Transcripts/0%20-%20Government/USA%20-%20NASA%20Kennedy/"/>
    <hyperlink ref="C1018" r:id="rId1018" display="https://youtu.be/D2Odsnn1H9A"/>
    <hyperlink ref="F1018" r:id="rId2" display="https://files.afu.se/Downloads/Transcripts/0%20-%20Government/USA%20-%20NASA%20Kennedy/"/>
    <hyperlink ref="C1019" r:id="rId1019" display="https://youtu.be/iQLZzYiCPjk"/>
    <hyperlink ref="F1019" r:id="rId2" display="https://files.afu.se/Downloads/Transcripts/0%20-%20Government/USA%20-%20NASA%20Kennedy/"/>
    <hyperlink ref="C1020" r:id="rId1020" display="https://youtu.be/DXWp0WwZWR0"/>
    <hyperlink ref="F1020" r:id="rId2" display="https://files.afu.se/Downloads/Transcripts/0%20-%20Government/USA%20-%20NASA%20Kennedy/"/>
    <hyperlink ref="C1021" r:id="rId1021" display="https://youtu.be/-GpBZSIO22U"/>
    <hyperlink ref="F1021" r:id="rId2" display="https://files.afu.se/Downloads/Transcripts/0%20-%20Government/USA%20-%20NASA%20Kennedy/"/>
    <hyperlink ref="C1022" r:id="rId1022" display="https://youtu.be/jDN2v0iO3CI"/>
    <hyperlink ref="F1022" r:id="rId2" display="https://files.afu.se/Downloads/Transcripts/0%20-%20Government/USA%20-%20NASA%20Kennedy/"/>
    <hyperlink ref="C1023" r:id="rId1023" display="https://youtu.be/pMqn5Z53aY4"/>
    <hyperlink ref="F1023" r:id="rId2" display="https://files.afu.se/Downloads/Transcripts/0%20-%20Government/USA%20-%20NASA%20Kennedy/"/>
    <hyperlink ref="C1024" r:id="rId1024" display="https://youtu.be/lX7s-sA7bEk"/>
    <hyperlink ref="F1024" r:id="rId2" display="https://files.afu.se/Downloads/Transcripts/0%20-%20Government/USA%20-%20NASA%20Kennedy/"/>
    <hyperlink ref="C1025" r:id="rId1025" display="https://youtu.be/R5AwRC8nZGc"/>
    <hyperlink ref="F1025" r:id="rId2" display="https://files.afu.se/Downloads/Transcripts/0%20-%20Government/USA%20-%20NASA%20Kennedy/"/>
    <hyperlink ref="C1026" r:id="rId1026" display="https://youtu.be/_xlxw_D748c"/>
    <hyperlink ref="F1026" r:id="rId2" display="https://files.afu.se/Downloads/Transcripts/0%20-%20Government/USA%20-%20NASA%20Kennedy/"/>
    <hyperlink ref="C1027" r:id="rId1027" display="https://youtu.be/lEc7qXx8hek"/>
    <hyperlink ref="F1027" r:id="rId2" display="https://files.afu.se/Downloads/Transcripts/0%20-%20Government/USA%20-%20NASA%20Kennedy/"/>
    <hyperlink ref="C1028" r:id="rId1028" display="https://youtu.be/0lLpcsZyEqo"/>
    <hyperlink ref="F1028" r:id="rId2" display="https://files.afu.se/Downloads/Transcripts/0%20-%20Government/USA%20-%20NASA%20Kennedy/"/>
    <hyperlink ref="C1029" r:id="rId1029" display="https://youtu.be/JdLPmU6XJ1Q"/>
    <hyperlink ref="F1029" r:id="rId2" display="https://files.afu.se/Downloads/Transcripts/0%20-%20Government/USA%20-%20NASA%20Kennedy/"/>
    <hyperlink ref="C1030" r:id="rId1030" display="https://youtu.be/UMqb2UjMkMg"/>
    <hyperlink ref="F1030" r:id="rId2" display="https://files.afu.se/Downloads/Transcripts/0%20-%20Government/USA%20-%20NASA%20Kennedy/"/>
    <hyperlink ref="C1031" r:id="rId1031" display="https://youtu.be/DAVHtSDNtCQ"/>
    <hyperlink ref="F1031" r:id="rId2" display="https://files.afu.se/Downloads/Transcripts/0%20-%20Government/USA%20-%20NASA%20Kennedy/"/>
    <hyperlink ref="C1032" r:id="rId1032" display="https://youtu.be/fuwPdH6UChc"/>
    <hyperlink ref="F1032" r:id="rId2" display="https://files.afu.se/Downloads/Transcripts/0%20-%20Government/USA%20-%20NASA%20Kennedy/"/>
    <hyperlink ref="C1033" r:id="rId1033" display="https://youtu.be/a7P-DHMiyEc"/>
    <hyperlink ref="F1033" r:id="rId2" display="https://files.afu.se/Downloads/Transcripts/0%20-%20Government/USA%20-%20NASA%20Kennedy/"/>
    <hyperlink ref="C1034" r:id="rId1034" display="https://youtu.be/ceQycm1uCFI"/>
    <hyperlink ref="F1034" r:id="rId2" display="https://files.afu.se/Downloads/Transcripts/0%20-%20Government/USA%20-%20NASA%20Kennedy/"/>
    <hyperlink ref="C1035" r:id="rId1035" display="https://youtu.be/55O3GowGIiI"/>
    <hyperlink ref="F1035" r:id="rId2" display="https://files.afu.se/Downloads/Transcripts/0%20-%20Government/USA%20-%20NASA%20Kennedy/"/>
    <hyperlink ref="C1036" r:id="rId1036" display="https://youtu.be/3jWe_gzozXE"/>
    <hyperlink ref="F1036" r:id="rId2" display="https://files.afu.se/Downloads/Transcripts/0%20-%20Government/USA%20-%20NASA%20Kennedy/"/>
    <hyperlink ref="C1037" r:id="rId1037" display="https://youtu.be/LwZ2QUu-RJ8"/>
    <hyperlink ref="F1037" r:id="rId2" display="https://files.afu.se/Downloads/Transcripts/0%20-%20Government/USA%20-%20NASA%20Kennedy/"/>
    <hyperlink ref="C1038" r:id="rId1038" display="https://youtu.be/G_2IFyWXNeA"/>
    <hyperlink ref="F1038" r:id="rId2" display="https://files.afu.se/Downloads/Transcripts/0%20-%20Government/USA%20-%20NASA%20Kennedy/"/>
    <hyperlink ref="C1039" r:id="rId1039" display="https://youtu.be/R8aByl2fK5I"/>
    <hyperlink ref="F1039" r:id="rId2" display="https://files.afu.se/Downloads/Transcripts/0%20-%20Government/USA%20-%20NASA%20Kennedy/"/>
    <hyperlink ref="C1040" r:id="rId1040" display="https://youtu.be/qt6AxlrN_Ns"/>
    <hyperlink ref="F1040" r:id="rId2" display="https://files.afu.se/Downloads/Transcripts/0%20-%20Government/USA%20-%20NASA%20Kennedy/"/>
    <hyperlink ref="C1041" r:id="rId1041" display="https://youtu.be/_hwFYPadnbk"/>
    <hyperlink ref="F1041" r:id="rId2" display="https://files.afu.se/Downloads/Transcripts/0%20-%20Government/USA%20-%20NASA%20Kennedy/"/>
    <hyperlink ref="C1042" r:id="rId1042" display="https://youtu.be/njf67aov4XA"/>
    <hyperlink ref="F1042" r:id="rId2" display="https://files.afu.se/Downloads/Transcripts/0%20-%20Government/USA%20-%20NASA%20Kennedy/"/>
    <hyperlink ref="C1043" r:id="rId1043" display="https://youtu.be/7iOBtNkF32I"/>
    <hyperlink ref="F1043" r:id="rId2" display="https://files.afu.se/Downloads/Transcripts/0%20-%20Government/USA%20-%20NASA%20Kennedy/"/>
    <hyperlink ref="C1044" r:id="rId1044" display="https://youtu.be/4DR9IPb_YYE"/>
    <hyperlink ref="F1044" r:id="rId2" display="https://files.afu.se/Downloads/Transcripts/0%20-%20Government/USA%20-%20NASA%20Kennedy/"/>
    <hyperlink ref="C1045" r:id="rId1045" display="https://youtu.be/C8KhYA9L9qI"/>
    <hyperlink ref="F1045" r:id="rId2" display="https://files.afu.se/Downloads/Transcripts/0%20-%20Government/USA%20-%20NASA%20Kennedy/"/>
    <hyperlink ref="C1046" r:id="rId1046" display="https://youtu.be/V15bK8Leuf0"/>
    <hyperlink ref="F1046" r:id="rId2" display="https://files.afu.se/Downloads/Transcripts/0%20-%20Government/USA%20-%20NASA%20Kennedy/"/>
    <hyperlink ref="C1047" r:id="rId1047" display="https://youtu.be/KFPHbfl9F9Q"/>
    <hyperlink ref="F1047" r:id="rId2" display="https://files.afu.se/Downloads/Transcripts/0%20-%20Government/USA%20-%20NASA%20Kennedy/"/>
    <hyperlink ref="C1048" r:id="rId1048" display="https://youtu.be/fxdG6XouJBs"/>
    <hyperlink ref="F1048" r:id="rId2" display="https://files.afu.se/Downloads/Transcripts/0%20-%20Government/USA%20-%20NASA%20Kennedy/"/>
    <hyperlink ref="C1049" r:id="rId1049" display="https://youtu.be/X5VWayNrtWk"/>
    <hyperlink ref="F1049" r:id="rId2" display="https://files.afu.se/Downloads/Transcripts/0%20-%20Government/USA%20-%20NASA%20Kennedy/"/>
    <hyperlink ref="C1050" r:id="rId1050" display="https://youtu.be/NsT8YxptiBQ"/>
    <hyperlink ref="F1050" r:id="rId2" display="https://files.afu.se/Downloads/Transcripts/0%20-%20Government/USA%20-%20NASA%20Kennedy/"/>
    <hyperlink ref="C1051" r:id="rId1051" display="https://youtu.be/mvq34Uah7jk"/>
    <hyperlink ref="F1051" r:id="rId2" display="https://files.afu.se/Downloads/Transcripts/0%20-%20Government/USA%20-%20NASA%20Kennedy/"/>
    <hyperlink ref="C1052" r:id="rId1052" display="https://youtu.be/ZX7rHlKGiUo"/>
    <hyperlink ref="F1052" r:id="rId2" display="https://files.afu.se/Downloads/Transcripts/0%20-%20Government/USA%20-%20NASA%20Kennedy/"/>
    <hyperlink ref="C1053" r:id="rId1053" display="https://youtu.be/lJ7HZkkiRtU"/>
    <hyperlink ref="F1053" r:id="rId2" display="https://files.afu.se/Downloads/Transcripts/0%20-%20Government/USA%20-%20NASA%20Kennedy/"/>
    <hyperlink ref="C1054" r:id="rId1054" display="https://youtu.be/n-dYG1_erJw"/>
    <hyperlink ref="F1054" r:id="rId2" display="https://files.afu.se/Downloads/Transcripts/0%20-%20Government/USA%20-%20NASA%20Kennedy/"/>
    <hyperlink ref="C1055" r:id="rId1055" display="https://youtu.be/3Pbl8zR9o5o"/>
    <hyperlink ref="F1055" r:id="rId2" display="https://files.afu.se/Downloads/Transcripts/0%20-%20Government/USA%20-%20NASA%20Kennedy/"/>
    <hyperlink ref="C1056" r:id="rId1056" display="https://youtu.be/cbmqHg7uW3w"/>
    <hyperlink ref="F1056" r:id="rId2" display="https://files.afu.se/Downloads/Transcripts/0%20-%20Government/USA%20-%20NASA%20Kennedy/"/>
    <hyperlink ref="C1057" r:id="rId1057" display="https://youtu.be/K3O1YOf0Nio"/>
    <hyperlink ref="F1057" r:id="rId2" display="https://files.afu.se/Downloads/Transcripts/0%20-%20Government/USA%20-%20NASA%20Kennedy/"/>
    <hyperlink ref="C1058" r:id="rId1058" display="https://youtu.be/kPj-g4DI-NY"/>
    <hyperlink ref="F1058" r:id="rId2" display="https://files.afu.se/Downloads/Transcripts/0%20-%20Government/USA%20-%20NASA%20Kennedy/"/>
    <hyperlink ref="C1059" r:id="rId1059" display="https://youtu.be/f_excAMCuuo"/>
    <hyperlink ref="F1059" r:id="rId2" display="https://files.afu.se/Downloads/Transcripts/0%20-%20Government/USA%20-%20NASA%20Kennedy/"/>
    <hyperlink ref="C1060" r:id="rId1060" display="https://youtu.be/SJAEyNmA4LE"/>
    <hyperlink ref="F1060" r:id="rId2" display="https://files.afu.se/Downloads/Transcripts/0%20-%20Government/USA%20-%20NASA%20Kennedy/"/>
    <hyperlink ref="C1061" r:id="rId1061" display="https://youtu.be/MRcmQO69DMg"/>
    <hyperlink ref="F1061" r:id="rId2" display="https://files.afu.se/Downloads/Transcripts/0%20-%20Government/USA%20-%20NASA%20Kennedy/"/>
    <hyperlink ref="C1062" r:id="rId1062" display="https://youtu.be/t4HnpMYCXnM"/>
    <hyperlink ref="F1062" r:id="rId2" display="https://files.afu.se/Downloads/Transcripts/0%20-%20Government/USA%20-%20NASA%20Kennedy/"/>
    <hyperlink ref="C1063" r:id="rId1063" display="https://youtu.be/Hq6ddp6Kx-U"/>
    <hyperlink ref="F1063" r:id="rId2" display="https://files.afu.se/Downloads/Transcripts/0%20-%20Government/USA%20-%20NASA%20Kennedy/"/>
    <hyperlink ref="C1064" r:id="rId1064" display="https://youtu.be/yi09XN3NaeI"/>
    <hyperlink ref="F1064" r:id="rId2" display="https://files.afu.se/Downloads/Transcripts/0%20-%20Government/USA%20-%20NASA%20Kennedy/"/>
    <hyperlink ref="C1065" r:id="rId1065" display="https://youtu.be/HN3BWoD7uEk"/>
    <hyperlink ref="F1065" r:id="rId2" display="https://files.afu.se/Downloads/Transcripts/0%20-%20Government/USA%20-%20NASA%20Kennedy/"/>
    <hyperlink ref="C1066" r:id="rId1066" display="https://youtu.be/tjDb_ZTsc44"/>
    <hyperlink ref="F1066" r:id="rId2" display="https://files.afu.se/Downloads/Transcripts/0%20-%20Government/USA%20-%20NASA%20Kennedy/"/>
    <hyperlink ref="C1067" r:id="rId1067" display="https://youtu.be/oy2nHvDDssY"/>
    <hyperlink ref="F1067" r:id="rId2" display="https://files.afu.se/Downloads/Transcripts/0%20-%20Government/USA%20-%20NASA%20Kennedy/"/>
    <hyperlink ref="C1068" r:id="rId1068" display="https://youtu.be/TYMFiziNKOo"/>
    <hyperlink ref="F1068" r:id="rId2" display="https://files.afu.se/Downloads/Transcripts/0%20-%20Government/USA%20-%20NASA%20Kennedy/"/>
    <hyperlink ref="C1069" r:id="rId1069" display="https://youtu.be/QMtUQLPcDK4"/>
    <hyperlink ref="F1069" r:id="rId2" display="https://files.afu.se/Downloads/Transcripts/0%20-%20Government/USA%20-%20NASA%20Kennedy/"/>
    <hyperlink ref="C1070" r:id="rId1070" display="https://youtu.be/M_MTuY8a-lI"/>
    <hyperlink ref="F1070" r:id="rId2" display="https://files.afu.se/Downloads/Transcripts/0%20-%20Government/USA%20-%20NASA%20Kennedy/"/>
    <hyperlink ref="C1071" r:id="rId1071" display="https://youtu.be/Pi48DhfenFg"/>
    <hyperlink ref="F1071" r:id="rId2" display="https://files.afu.se/Downloads/Transcripts/0%20-%20Government/USA%20-%20NASA%20Kennedy/"/>
    <hyperlink ref="C1072" r:id="rId1072" display="https://youtu.be/LlFNnNQ4vQI"/>
    <hyperlink ref="F1072" r:id="rId2" display="https://files.afu.se/Downloads/Transcripts/0%20-%20Government/USA%20-%20NASA%20Kennedy/"/>
    <hyperlink ref="C1073" r:id="rId1073" display="https://youtu.be/yd_Bg7K6Jt0"/>
    <hyperlink ref="F1073" r:id="rId2" display="https://files.afu.se/Downloads/Transcripts/0%20-%20Government/USA%20-%20NASA%20Kennedy/"/>
    <hyperlink ref="C1074" r:id="rId1074" display="https://youtu.be/Iq1YAMMT5_g"/>
    <hyperlink ref="F1074" r:id="rId2" display="https://files.afu.se/Downloads/Transcripts/0%20-%20Government/USA%20-%20NASA%20Kennedy/"/>
    <hyperlink ref="C1075" r:id="rId1075" display="https://youtu.be/I27EeRRkjPk"/>
    <hyperlink ref="F1075" r:id="rId2" display="https://files.afu.se/Downloads/Transcripts/0%20-%20Government/USA%20-%20NASA%20Kennedy/"/>
    <hyperlink ref="C1076" r:id="rId1076" display="https://youtu.be/1zuOCvuA27Y"/>
    <hyperlink ref="F1076" r:id="rId2" display="https://files.afu.se/Downloads/Transcripts/0%20-%20Government/USA%20-%20NASA%20Kennedy/"/>
    <hyperlink ref="C1077" r:id="rId1077" display="https://youtu.be/tFTE8qDbXfs"/>
    <hyperlink ref="F1077" r:id="rId2" display="https://files.afu.se/Downloads/Transcripts/0%20-%20Government/USA%20-%20NASA%20Kennedy/"/>
    <hyperlink ref="C1078" r:id="rId1078" display="https://youtu.be/odh08oKhpjk"/>
    <hyperlink ref="F1078" r:id="rId2" display="https://files.afu.se/Downloads/Transcripts/0%20-%20Government/USA%20-%20NASA%20Kennedy/"/>
    <hyperlink ref="C1079" r:id="rId1079" display="https://youtu.be/qud4SIDRv-8"/>
    <hyperlink ref="F1079" r:id="rId2" display="https://files.afu.se/Downloads/Transcripts/0%20-%20Government/USA%20-%20NASA%20Kennedy/"/>
    <hyperlink ref="C1080" r:id="rId1080" display="https://youtu.be/Abx1uTNiloo"/>
    <hyperlink ref="F1080" r:id="rId2" display="https://files.afu.se/Downloads/Transcripts/0%20-%20Government/USA%20-%20NASA%20Kennedy/"/>
    <hyperlink ref="C1081" r:id="rId1081" display="https://youtu.be/B-1cEoOvbnk"/>
    <hyperlink ref="F1081" r:id="rId2" display="https://files.afu.se/Downloads/Transcripts/0%20-%20Government/USA%20-%20NASA%20Kennedy/"/>
    <hyperlink ref="C1082" r:id="rId1082" display="https://youtu.be/MiJJRK4DSEw"/>
    <hyperlink ref="F1082" r:id="rId2" display="https://files.afu.se/Downloads/Transcripts/0%20-%20Government/USA%20-%20NASA%20Kennedy/"/>
    <hyperlink ref="C1083" r:id="rId1083" display="https://youtu.be/t0OhynA7JrQ"/>
    <hyperlink ref="F1083" r:id="rId2" display="https://files.afu.se/Downloads/Transcripts/0%20-%20Government/USA%20-%20NASA%20Kennedy/"/>
    <hyperlink ref="C1084" r:id="rId1084" display="https://youtu.be/QLn5LjS9cew"/>
    <hyperlink ref="F1084" r:id="rId2" display="https://files.afu.se/Downloads/Transcripts/0%20-%20Government/USA%20-%20NASA%20Kennedy/"/>
    <hyperlink ref="C1085" r:id="rId1085" display="https://youtu.be/7GpM_sGTfyA"/>
    <hyperlink ref="F1085" r:id="rId2" display="https://files.afu.se/Downloads/Transcripts/0%20-%20Government/USA%20-%20NASA%20Kennedy/"/>
    <hyperlink ref="C1086" r:id="rId1086" display="https://youtu.be/09oB0mRKTFk"/>
    <hyperlink ref="F1086" r:id="rId2" display="https://files.afu.se/Downloads/Transcripts/0%20-%20Government/USA%20-%20NASA%20Kennedy/"/>
    <hyperlink ref="C1087" r:id="rId1087" display="https://youtu.be/4Mm2BFBw1cY"/>
    <hyperlink ref="F1087" r:id="rId2" display="https://files.afu.se/Downloads/Transcripts/0%20-%20Government/USA%20-%20NASA%20Kennedy/"/>
    <hyperlink ref="C1088" r:id="rId1088" display="https://youtu.be/jCJPiQlgz9Q"/>
    <hyperlink ref="F1088" r:id="rId2" display="https://files.afu.se/Downloads/Transcripts/0%20-%20Government/USA%20-%20NASA%20Kennedy/"/>
    <hyperlink ref="C1089" r:id="rId1089" display="https://youtu.be/jbo_-Ljwvlk"/>
    <hyperlink ref="F1089" r:id="rId2" display="https://files.afu.se/Downloads/Transcripts/0%20-%20Government/USA%20-%20NASA%20Kennedy/"/>
    <hyperlink ref="C1090" r:id="rId1090" display="https://youtu.be/KXpwVgCBaKA"/>
    <hyperlink ref="F1090" r:id="rId2" display="https://files.afu.se/Downloads/Transcripts/0%20-%20Government/USA%20-%20NASA%20Kennedy/"/>
    <hyperlink ref="C1091" r:id="rId1091" display="https://youtu.be/Z6Kp6MMl0HQ"/>
    <hyperlink ref="F1091" r:id="rId2" display="https://files.afu.se/Downloads/Transcripts/0%20-%20Government/USA%20-%20NASA%20Kennedy/"/>
    <hyperlink ref="C1092" r:id="rId1092" display="https://youtu.be/WZZeMOYk1ac"/>
    <hyperlink ref="F1092" r:id="rId2" display="https://files.afu.se/Downloads/Transcripts/0%20-%20Government/USA%20-%20NASA%20Kennedy/"/>
    <hyperlink ref="C1093" r:id="rId1093" display="https://youtu.be/dMrlv-YAjTs"/>
    <hyperlink ref="F1093" r:id="rId2" display="https://files.afu.se/Downloads/Transcripts/0%20-%20Government/USA%20-%20NASA%20Kennedy/"/>
    <hyperlink ref="C1094" r:id="rId1094" display="https://youtu.be/l8IIGIY5Ps8"/>
    <hyperlink ref="F1094" r:id="rId2" display="https://files.afu.se/Downloads/Transcripts/0%20-%20Government/USA%20-%20NASA%20Kennedy/"/>
    <hyperlink ref="C1095" r:id="rId1095" display="https://youtu.be/VBgGpkesHQo"/>
    <hyperlink ref="F1095" r:id="rId2" display="https://files.afu.se/Downloads/Transcripts/0%20-%20Government/USA%20-%20NASA%20Kennedy/"/>
    <hyperlink ref="C1096" r:id="rId1096" display="https://youtu.be/nVvvL2UW5Ko"/>
    <hyperlink ref="F1096" r:id="rId2" display="https://files.afu.se/Downloads/Transcripts/0%20-%20Government/USA%20-%20NASA%20Kennedy/"/>
    <hyperlink ref="C1097" r:id="rId1097" display="https://youtu.be/smq3lIOfFog"/>
    <hyperlink ref="F1097" r:id="rId2" display="https://files.afu.se/Downloads/Transcripts/0%20-%20Government/USA%20-%20NASA%20Kennedy/"/>
    <hyperlink ref="C1098" r:id="rId1098" display="https://youtu.be/73I3TLaXAH8"/>
    <hyperlink ref="F1098" r:id="rId2" display="https://files.afu.se/Downloads/Transcripts/0%20-%20Government/USA%20-%20NASA%20Kennedy/"/>
    <hyperlink ref="C1099" r:id="rId1099" display="https://youtu.be/RlbTx4fo5Tw"/>
    <hyperlink ref="F1099" r:id="rId2" display="https://files.afu.se/Downloads/Transcripts/0%20-%20Government/USA%20-%20NASA%20Kennedy/"/>
    <hyperlink ref="C1100" r:id="rId1100" display="https://youtu.be/T5Xbhw8M5rU"/>
    <hyperlink ref="F1100" r:id="rId2" display="https://files.afu.se/Downloads/Transcripts/0%20-%20Government/USA%20-%20NASA%20Kennedy/"/>
    <hyperlink ref="C1101" r:id="rId1101" display="https://youtu.be/awY3-pRsfQc"/>
    <hyperlink ref="F1101" r:id="rId2" display="https://files.afu.se/Downloads/Transcripts/0%20-%20Government/USA%20-%20NASA%20Kennedy/"/>
    <hyperlink ref="C1102" r:id="rId1102" display="https://youtu.be/xV5sk6Zkt24"/>
    <hyperlink ref="F1102" r:id="rId2" display="https://files.afu.se/Downloads/Transcripts/0%20-%20Government/USA%20-%20NASA%20Kennedy/"/>
    <hyperlink ref="C1103" r:id="rId1103" display="https://youtu.be/L3G-HScAJuY"/>
    <hyperlink ref="F1103" r:id="rId2" display="https://files.afu.se/Downloads/Transcripts/0%20-%20Government/USA%20-%20NASA%20Kennedy/"/>
    <hyperlink ref="C1104" r:id="rId1104" display="https://youtu.be/OeznNgnBkTY"/>
    <hyperlink ref="F1104" r:id="rId2" display="https://files.afu.se/Downloads/Transcripts/0%20-%20Government/USA%20-%20NASA%20Kennedy/"/>
    <hyperlink ref="C1105" r:id="rId1105" display="https://youtu.be/v3cBQtxde_0"/>
    <hyperlink ref="F1105" r:id="rId2" display="https://files.afu.se/Downloads/Transcripts/0%20-%20Government/USA%20-%20NASA%20Kennedy/"/>
    <hyperlink ref="C1106" r:id="rId1106" display="https://youtu.be/rh_nyFIwPy0"/>
    <hyperlink ref="F1106" r:id="rId2" display="https://files.afu.se/Downloads/Transcripts/0%20-%20Government/USA%20-%20NASA%20Kennedy/"/>
    <hyperlink ref="C1107" r:id="rId1107" display="https://youtu.be/o9-YQS_Sfb4"/>
    <hyperlink ref="F1107" r:id="rId2" display="https://files.afu.se/Downloads/Transcripts/0%20-%20Government/USA%20-%20NASA%20Kennedy/"/>
    <hyperlink ref="C1108" r:id="rId1108" display="https://youtu.be/fOroyQc0tGQ"/>
    <hyperlink ref="F1108" r:id="rId2" display="https://files.afu.se/Downloads/Transcripts/0%20-%20Government/USA%20-%20NASA%20Kennedy/"/>
    <hyperlink ref="C1109" r:id="rId1109" display="https://youtu.be/g0lxTh2EBY8"/>
    <hyperlink ref="F1109" r:id="rId2" display="https://files.afu.se/Downloads/Transcripts/0%20-%20Government/USA%20-%20NASA%20Kennedy/"/>
    <hyperlink ref="C1110" r:id="rId1110" display="https://youtu.be/Z4MXuw7-8ow"/>
    <hyperlink ref="F1110" r:id="rId2" display="https://files.afu.se/Downloads/Transcripts/0%20-%20Government/USA%20-%20NASA%20Kennedy/"/>
    <hyperlink ref="C1111" r:id="rId1111" display="https://youtu.be/MYhteEVgOEI"/>
    <hyperlink ref="F1111" r:id="rId2" display="https://files.afu.se/Downloads/Transcripts/0%20-%20Government/USA%20-%20NASA%20Kennedy/"/>
    <hyperlink ref="C1112" r:id="rId1112" display="https://youtu.be/_RcVzckESsM"/>
    <hyperlink ref="F1112" r:id="rId2" display="https://files.afu.se/Downloads/Transcripts/0%20-%20Government/USA%20-%20NASA%20Kennedy/"/>
    <hyperlink ref="C1113" r:id="rId1113" display="https://youtu.be/_InEufePaBE"/>
    <hyperlink ref="F1113" r:id="rId2" display="https://files.afu.se/Downloads/Transcripts/0%20-%20Government/USA%20-%20NASA%20Kennedy/"/>
    <hyperlink ref="C1114" r:id="rId1114" display="https://youtu.be/etOz_y2R25c"/>
    <hyperlink ref="F1114" r:id="rId2" display="https://files.afu.se/Downloads/Transcripts/0%20-%20Government/USA%20-%20NASA%20Kennedy/"/>
    <hyperlink ref="C1115" r:id="rId1115" display="https://youtu.be/EUXG4xwLnBQ"/>
    <hyperlink ref="F1115" r:id="rId2" display="https://files.afu.se/Downloads/Transcripts/0%20-%20Government/USA%20-%20NASA%20Kennedy/"/>
    <hyperlink ref="C1116" r:id="rId1116" display="https://youtu.be/K_dgqsS9a7U"/>
    <hyperlink ref="F1116" r:id="rId2" display="https://files.afu.se/Downloads/Transcripts/0%20-%20Government/USA%20-%20NASA%20Kennedy/"/>
    <hyperlink ref="C1117" r:id="rId1117" display="https://youtu.be/SprUqLGLgTI"/>
    <hyperlink ref="F1117" r:id="rId2" display="https://files.afu.se/Downloads/Transcripts/0%20-%20Government/USA%20-%20NASA%20Kennedy/"/>
    <hyperlink ref="C1118" r:id="rId1118" display="https://youtu.be/3Yr52YDEp3k"/>
    <hyperlink ref="F1118" r:id="rId2" display="https://files.afu.se/Downloads/Transcripts/0%20-%20Government/USA%20-%20NASA%20Kennedy/"/>
    <hyperlink ref="C1119" r:id="rId1119" display="https://youtu.be/eXXbWxNlIlM"/>
    <hyperlink ref="F1119" r:id="rId2" display="https://files.afu.se/Downloads/Transcripts/0%20-%20Government/USA%20-%20NASA%20Kennedy/"/>
    <hyperlink ref="C1120" r:id="rId1120" display="https://youtu.be/yOIQwkp4Dpc"/>
    <hyperlink ref="F1120" r:id="rId2" display="https://files.afu.se/Downloads/Transcripts/0%20-%20Government/USA%20-%20NASA%20Kennedy/"/>
    <hyperlink ref="C1121" r:id="rId1121" display="https://youtu.be/t4oQW_a7XkA"/>
    <hyperlink ref="F1121" r:id="rId2" display="https://files.afu.se/Downloads/Transcripts/0%20-%20Government/USA%20-%20NASA%20Kennedy/"/>
    <hyperlink ref="C1122" r:id="rId1122" display="https://youtu.be/0gAlpL25Rn4"/>
    <hyperlink ref="F1122" r:id="rId2" display="https://files.afu.se/Downloads/Transcripts/0%20-%20Government/USA%20-%20NASA%20Kennedy/"/>
    <hyperlink ref="C1123" r:id="rId1123" display="https://youtu.be/ESAwzJklEvM"/>
    <hyperlink ref="F1123" r:id="rId2" display="https://files.afu.se/Downloads/Transcripts/0%20-%20Government/USA%20-%20NASA%20Kennedy/"/>
    <hyperlink ref="C1124" r:id="rId1124" display="https://youtu.be/VdQfdKkr46U"/>
    <hyperlink ref="F1124" r:id="rId2" display="https://files.afu.se/Downloads/Transcripts/0%20-%20Government/USA%20-%20NASA%20Kennedy/"/>
    <hyperlink ref="C1125" r:id="rId1125" display="https://youtu.be/Om9rL4rpMDI"/>
    <hyperlink ref="F1125" r:id="rId2" display="https://files.afu.se/Downloads/Transcripts/0%20-%20Government/USA%20-%20NASA%20Kennedy/"/>
    <hyperlink ref="C1126" r:id="rId1126" display="https://youtu.be/_3rKiMdk7So"/>
    <hyperlink ref="F1126" r:id="rId2" display="https://files.afu.se/Downloads/Transcripts/0%20-%20Government/USA%20-%20NASA%20Kennedy/"/>
    <hyperlink ref="C1127" r:id="rId1127" display="https://youtu.be/3p_1jynTvbE"/>
    <hyperlink ref="F1127" r:id="rId2" display="https://files.afu.se/Downloads/Transcripts/0%20-%20Government/USA%20-%20NASA%20Kennedy/"/>
    <hyperlink ref="C1128" r:id="rId1128" display="https://youtu.be/2v1j4-GqXk4"/>
    <hyperlink ref="F1128" r:id="rId2" display="https://files.afu.se/Downloads/Transcripts/0%20-%20Government/USA%20-%20NASA%20Kennedy/"/>
    <hyperlink ref="C1129" r:id="rId1129" display="https://youtu.be/XeWqhj_m3Is"/>
    <hyperlink ref="F1129" r:id="rId2" display="https://files.afu.se/Downloads/Transcripts/0%20-%20Government/USA%20-%20NASA%20Kennedy/"/>
    <hyperlink ref="C1130" r:id="rId1130" display="https://youtu.be/OHHnud-RRx4"/>
    <hyperlink ref="F1130" r:id="rId2" display="https://files.afu.se/Downloads/Transcripts/0%20-%20Government/USA%20-%20NASA%20Kennedy/"/>
    <hyperlink ref="C1131" r:id="rId1131" display="https://youtu.be/ICW_hqeH648"/>
    <hyperlink ref="F1131" r:id="rId2" display="https://files.afu.se/Downloads/Transcripts/0%20-%20Government/USA%20-%20NASA%20Kennedy/"/>
    <hyperlink ref="C1132" r:id="rId1132" display="https://youtu.be/L5rcaML4m5I"/>
    <hyperlink ref="F1132" r:id="rId2" display="https://files.afu.se/Downloads/Transcripts/0%20-%20Government/USA%20-%20NASA%20Kennedy/"/>
    <hyperlink ref="C1133" r:id="rId1133" display="https://youtu.be/HAPh6dazf78"/>
    <hyperlink ref="F1133" r:id="rId2" display="https://files.afu.se/Downloads/Transcripts/0%20-%20Government/USA%20-%20NASA%20Kennedy/"/>
    <hyperlink ref="C1134" r:id="rId1134" display="https://youtu.be/Aox2R9GElWw"/>
    <hyperlink ref="F1134" r:id="rId2" display="https://files.afu.se/Downloads/Transcripts/0%20-%20Government/USA%20-%20NASA%20Kennedy/"/>
    <hyperlink ref="C1135" r:id="rId1135" display="https://youtu.be/FIdXBP1495Y"/>
    <hyperlink ref="F1135" r:id="rId2" display="https://files.afu.se/Downloads/Transcripts/0%20-%20Government/USA%20-%20NASA%20Kennedy/"/>
    <hyperlink ref="C1136" r:id="rId1136" display="https://youtu.be/4LVNVe2XeJs"/>
    <hyperlink ref="F1136" r:id="rId2" display="https://files.afu.se/Downloads/Transcripts/0%20-%20Government/USA%20-%20NASA%20Kennedy/"/>
    <hyperlink ref="C1137" r:id="rId1137" display="https://youtu.be/7fEz6jvQmow"/>
    <hyperlink ref="F1137" r:id="rId2" display="https://files.afu.se/Downloads/Transcripts/0%20-%20Government/USA%20-%20NASA%20Kennedy/"/>
    <hyperlink ref="C1138" r:id="rId1138" display="https://youtu.be/FQb7RiVDxcM"/>
    <hyperlink ref="F1138" r:id="rId2" display="https://files.afu.se/Downloads/Transcripts/0%20-%20Government/USA%20-%20NASA%20Kennedy/"/>
    <hyperlink ref="C1139" r:id="rId1139" display="https://youtu.be/w413YD4j-EI"/>
    <hyperlink ref="F1139" r:id="rId2" display="https://files.afu.se/Downloads/Transcripts/0%20-%20Government/USA%20-%20NASA%20Kennedy/"/>
    <hyperlink ref="C1140" r:id="rId1140" display="https://youtu.be/MEdGzcv0jN8"/>
    <hyperlink ref="F1140" r:id="rId2" display="https://files.afu.se/Downloads/Transcripts/0%20-%20Government/USA%20-%20NASA%20Kennedy/"/>
    <hyperlink ref="C1141" r:id="rId1141" display="https://youtu.be/IKxQDkvyNb0"/>
    <hyperlink ref="F1141" r:id="rId2" display="https://files.afu.se/Downloads/Transcripts/0%20-%20Government/USA%20-%20NASA%20Kennedy/"/>
    <hyperlink ref="C1142" r:id="rId1142" display="https://youtu.be/zVCjX-EST3c"/>
    <hyperlink ref="F1142" r:id="rId2" display="https://files.afu.se/Downloads/Transcripts/0%20-%20Government/USA%20-%20NASA%20Kennedy/"/>
    <hyperlink ref="C1143" r:id="rId1143" display="https://youtu.be/Cgu3U6rqPqk"/>
    <hyperlink ref="F1143" r:id="rId2" display="https://files.afu.se/Downloads/Transcripts/0%20-%20Government/USA%20-%20NASA%20Kennedy/"/>
    <hyperlink ref="C1144" r:id="rId1144" display="https://youtu.be/eI1vDxomga0"/>
    <hyperlink ref="F1144" r:id="rId2" display="https://files.afu.se/Downloads/Transcripts/0%20-%20Government/USA%20-%20NASA%20Kennedy/"/>
    <hyperlink ref="C1145" r:id="rId1145" display="https://youtu.be/2QPFhyyAv8Q"/>
    <hyperlink ref="F1145" r:id="rId2" display="https://files.afu.se/Downloads/Transcripts/0%20-%20Government/USA%20-%20NASA%20Kennedy/"/>
    <hyperlink ref="C1146" r:id="rId1146" display="https://youtu.be/DheVO2qwzsI"/>
    <hyperlink ref="F1146" r:id="rId2" display="https://files.afu.se/Downloads/Transcripts/0%20-%20Government/USA%20-%20NASA%20Kennedy/"/>
    <hyperlink ref="C1147" r:id="rId1147" display="https://youtu.be/L_j6KCwWbmw"/>
    <hyperlink ref="F1147" r:id="rId2" display="https://files.afu.se/Downloads/Transcripts/0%20-%20Government/USA%20-%20NASA%20Kennedy/"/>
    <hyperlink ref="C1148" r:id="rId1148" display="https://youtu.be/kvG54NCdKNU"/>
    <hyperlink ref="F1148" r:id="rId2" display="https://files.afu.se/Downloads/Transcripts/0%20-%20Government/USA%20-%20NASA%20Kennedy/"/>
    <hyperlink ref="C1149" r:id="rId1149" display="https://youtu.be/hwFJUg0XcLw"/>
    <hyperlink ref="F1149" r:id="rId2" display="https://files.afu.se/Downloads/Transcripts/0%20-%20Government/USA%20-%20NASA%20Kennedy/"/>
    <hyperlink ref="C1150" r:id="rId1150" display="https://youtu.be/z9mXAAQyrdY"/>
    <hyperlink ref="F1150" r:id="rId2" display="https://files.afu.se/Downloads/Transcripts/0%20-%20Government/USA%20-%20NASA%20Kennedy/"/>
    <hyperlink ref="C1151" r:id="rId1151" display="https://youtu.be/IFAsWwKKLV0"/>
    <hyperlink ref="F1151" r:id="rId2" display="https://files.afu.se/Downloads/Transcripts/0%20-%20Government/USA%20-%20NASA%20Kennedy/"/>
    <hyperlink ref="C1152" r:id="rId1152" display="https://youtu.be/ID1dllVR0a8"/>
    <hyperlink ref="F1152" r:id="rId2" display="https://files.afu.se/Downloads/Transcripts/0%20-%20Government/USA%20-%20NASA%20Kennedy/"/>
    <hyperlink ref="C1153" r:id="rId1153" display="https://youtu.be/M3bgFvFF1I0"/>
    <hyperlink ref="F1153" r:id="rId2" display="https://files.afu.se/Downloads/Transcripts/0%20-%20Government/USA%20-%20NASA%20Kennedy/"/>
    <hyperlink ref="C1154" r:id="rId1154" display="https://youtu.be/kFpVGjiPW0w"/>
    <hyperlink ref="F1154" r:id="rId2" display="https://files.afu.se/Downloads/Transcripts/0%20-%20Government/USA%20-%20NASA%20Kennedy/"/>
    <hyperlink ref="C1155" r:id="rId1155" display="https://youtu.be/RE84QxbhACg"/>
    <hyperlink ref="F1155" r:id="rId2" display="https://files.afu.se/Downloads/Transcripts/0%20-%20Government/USA%20-%20NASA%20Kennedy/"/>
    <hyperlink ref="C1156" r:id="rId1156" display="https://youtu.be/CmLZbYA3JzY"/>
    <hyperlink ref="F1156" r:id="rId2" display="https://files.afu.se/Downloads/Transcripts/0%20-%20Government/USA%20-%20NASA%20Kennedy/"/>
    <hyperlink ref="C1157" r:id="rId1157" display="https://youtu.be/AI8IMeQXF-s"/>
    <hyperlink ref="F1157" r:id="rId2" display="https://files.afu.se/Downloads/Transcripts/0%20-%20Government/USA%20-%20NASA%20Kennedy/"/>
    <hyperlink ref="C1158" r:id="rId1158" display="https://youtu.be/MW3WbIid7PE"/>
    <hyperlink ref="F1158" r:id="rId2" display="https://files.afu.se/Downloads/Transcripts/0%20-%20Government/USA%20-%20NASA%20Kennedy/"/>
    <hyperlink ref="C1159" r:id="rId1159" display="https://youtu.be/udRjTDKPcH4"/>
    <hyperlink ref="F1159" r:id="rId2" display="https://files.afu.se/Downloads/Transcripts/0%20-%20Government/USA%20-%20NASA%20Kennedy/"/>
    <hyperlink ref="C1160" r:id="rId1160" display="https://youtu.be/Ifq57wDIYi0"/>
    <hyperlink ref="F1160" r:id="rId2" display="https://files.afu.se/Downloads/Transcripts/0%20-%20Government/USA%20-%20NASA%20Kennedy/"/>
    <hyperlink ref="C1161" r:id="rId1161" display="https://youtu.be/n05BtbVNmX4"/>
    <hyperlink ref="F1161" r:id="rId2" display="https://files.afu.se/Downloads/Transcripts/0%20-%20Government/USA%20-%20NASA%20Kennedy/"/>
    <hyperlink ref="C1162" r:id="rId1162" display="https://youtu.be/rThMVXEIuRY"/>
    <hyperlink ref="F1162" r:id="rId2" display="https://files.afu.se/Downloads/Transcripts/0%20-%20Government/USA%20-%20NASA%20Kennedy/"/>
    <hyperlink ref="C1163" r:id="rId1163" display="https://youtu.be/YWiRuyhjEZ8"/>
    <hyperlink ref="F1163" r:id="rId2" display="https://files.afu.se/Downloads/Transcripts/0%20-%20Government/USA%20-%20NASA%20Kennedy/"/>
    <hyperlink ref="C1164" r:id="rId1164" display="https://youtu.be/WMIWIk57EUg"/>
    <hyperlink ref="F1164" r:id="rId2" display="https://files.afu.se/Downloads/Transcripts/0%20-%20Government/USA%20-%20NASA%20Kennedy/"/>
    <hyperlink ref="C1165" r:id="rId1165" display="https://youtu.be/YhA1qAUP33s"/>
    <hyperlink ref="F1165" r:id="rId2" display="https://files.afu.se/Downloads/Transcripts/0%20-%20Government/USA%20-%20NASA%20Kennedy/"/>
    <hyperlink ref="C1166" r:id="rId1166" display="https://youtu.be/2pnqFHXoA1c"/>
    <hyperlink ref="F1166" r:id="rId2" display="https://files.afu.se/Downloads/Transcripts/0%20-%20Government/USA%20-%20NASA%20Kennedy/"/>
    <hyperlink ref="C1167" r:id="rId1167" display="https://youtu.be/yzvnqh90LyQ"/>
    <hyperlink ref="F1167" r:id="rId2" display="https://files.afu.se/Downloads/Transcripts/0%20-%20Government/USA%20-%20NASA%20Kennedy/"/>
    <hyperlink ref="C1168" r:id="rId1168" display="https://youtu.be/OsF7Nqe_4Cs"/>
    <hyperlink ref="F1168" r:id="rId2" display="https://files.afu.se/Downloads/Transcripts/0%20-%20Government/USA%20-%20NASA%20Kennedy/"/>
    <hyperlink ref="C1169" r:id="rId1169" display="https://youtu.be/whI1EVFWUZ8"/>
    <hyperlink ref="F1169" r:id="rId2" display="https://files.afu.se/Downloads/Transcripts/0%20-%20Government/USA%20-%20NASA%20Kennedy/"/>
    <hyperlink ref="C1170" r:id="rId1170" display="https://youtu.be/oqBFzVM0AyU"/>
    <hyperlink ref="F1170" r:id="rId2" display="https://files.afu.se/Downloads/Transcripts/0%20-%20Government/USA%20-%20NASA%20Kennedy/"/>
    <hyperlink ref="C1171" r:id="rId1171" display="https://youtu.be/Z0JoWyz8ze8"/>
    <hyperlink ref="F1171" r:id="rId2" display="https://files.afu.se/Downloads/Transcripts/0%20-%20Government/USA%20-%20NASA%20Kennedy/"/>
    <hyperlink ref="C1172" r:id="rId1172" display="https://youtu.be/lF-N0e0kkdw"/>
    <hyperlink ref="F1172" r:id="rId2" display="https://files.afu.se/Downloads/Transcripts/0%20-%20Government/USA%20-%20NASA%20Kennedy/"/>
    <hyperlink ref="C1173" r:id="rId1173" display="https://youtu.be/FPaVOR5zCjE"/>
    <hyperlink ref="F1173" r:id="rId2" display="https://files.afu.se/Downloads/Transcripts/0%20-%20Government/USA%20-%20NASA%20Kennedy/"/>
    <hyperlink ref="C1174" r:id="rId1174" display="https://youtu.be/ZoPusN_O7qg"/>
    <hyperlink ref="F1174" r:id="rId2" display="https://files.afu.se/Downloads/Transcripts/0%20-%20Government/USA%20-%20NASA%20Kennedy/"/>
    <hyperlink ref="C1175" r:id="rId1175" display="https://youtu.be/YbP3upRGc9I"/>
    <hyperlink ref="F1175" r:id="rId2" display="https://files.afu.se/Downloads/Transcripts/0%20-%20Government/USA%20-%20NASA%20Kennedy/"/>
    <hyperlink ref="C1176" r:id="rId1176" display="https://youtu.be/b0iAoJPEk_I"/>
    <hyperlink ref="F1176" r:id="rId2" display="https://files.afu.se/Downloads/Transcripts/0%20-%20Government/USA%20-%20NASA%20Kennedy/"/>
    <hyperlink ref="C1177" r:id="rId1177" display="https://youtu.be/kaRGZkB9Sjc"/>
    <hyperlink ref="F1177" r:id="rId2" display="https://files.afu.se/Downloads/Transcripts/0%20-%20Government/USA%20-%20NASA%20Kennedy/"/>
    <hyperlink ref="C1178" r:id="rId1178" display="https://youtu.be/zNSxl9UXkCU"/>
    <hyperlink ref="F1178" r:id="rId2" display="https://files.afu.se/Downloads/Transcripts/0%20-%20Government/USA%20-%20NASA%20Kennedy/"/>
    <hyperlink ref="C1179" r:id="rId1179" display="https://youtu.be/-oFYGK2mrwY"/>
    <hyperlink ref="F1179" r:id="rId2" display="https://files.afu.se/Downloads/Transcripts/0%20-%20Government/USA%20-%20NASA%20Kennedy/"/>
    <hyperlink ref="C1180" r:id="rId1180" display="https://youtu.be/IMUxyOUXL9o"/>
    <hyperlink ref="F1180" r:id="rId2" display="https://files.afu.se/Downloads/Transcripts/0%20-%20Government/USA%20-%20NASA%20Kennedy/"/>
    <hyperlink ref="C1181" r:id="rId1181" display="https://youtu.be/Fo7PrNNmdkA"/>
    <hyperlink ref="F1181" r:id="rId2" display="https://files.afu.se/Downloads/Transcripts/0%20-%20Government/USA%20-%20NASA%20Kennedy/"/>
    <hyperlink ref="C1182" r:id="rId1182" display="https://youtu.be/VybS9Smkuss"/>
    <hyperlink ref="F1182" r:id="rId2" display="https://files.afu.se/Downloads/Transcripts/0%20-%20Government/USA%20-%20NASA%20Kennedy/"/>
    <hyperlink ref="C1183" r:id="rId1183" display="https://youtu.be/A6kcw0zPf6E"/>
    <hyperlink ref="F1183" r:id="rId2" display="https://files.afu.se/Downloads/Transcripts/0%20-%20Government/USA%20-%20NASA%20Kennedy/"/>
    <hyperlink ref="C1184" r:id="rId1184" display="https://youtu.be/kKSC0J1ehFg"/>
    <hyperlink ref="F1184" r:id="rId2" display="https://files.afu.se/Downloads/Transcripts/0%20-%20Government/USA%20-%20NASA%20Kennedy/"/>
    <hyperlink ref="C1185" r:id="rId1185" display="https://youtu.be/tJpmh6N9-Xc"/>
    <hyperlink ref="F1185" r:id="rId2" display="https://files.afu.se/Downloads/Transcripts/0%20-%20Government/USA%20-%20NASA%20Kennedy/"/>
    <hyperlink ref="C1186" r:id="rId1186" display="https://youtu.be/1TZc8XOkUnU"/>
    <hyperlink ref="F1186" r:id="rId2" display="https://files.afu.se/Downloads/Transcripts/0%20-%20Government/USA%20-%20NASA%20Kennedy/"/>
    <hyperlink ref="C1187" r:id="rId1187" display="https://youtu.be/hkf6W8ORTt4"/>
    <hyperlink ref="F1187" r:id="rId2" display="https://files.afu.se/Downloads/Transcripts/0%20-%20Government/USA%20-%20NASA%20Kennedy/"/>
    <hyperlink ref="C1188" r:id="rId1188" display="https://youtu.be/pm7SkfnWpvM"/>
    <hyperlink ref="F1188" r:id="rId2" display="https://files.afu.se/Downloads/Transcripts/0%20-%20Government/USA%20-%20NASA%20Kennedy/"/>
    <hyperlink ref="C1189" r:id="rId1189" display="https://youtu.be/sy0HX_Q_s7o"/>
    <hyperlink ref="F1189" r:id="rId2" display="https://files.afu.se/Downloads/Transcripts/0%20-%20Government/USA%20-%20NASA%20Kennedy/"/>
    <hyperlink ref="C1190" r:id="rId1190" display="https://youtu.be/kX5SEJsXbaY"/>
    <hyperlink ref="F1190" r:id="rId2" display="https://files.afu.se/Downloads/Transcripts/0%20-%20Government/USA%20-%20NASA%20Kennedy/"/>
    <hyperlink ref="C1191" r:id="rId1191" display="https://youtu.be/d7O3wPs97vI"/>
    <hyperlink ref="F1191" r:id="rId2" display="https://files.afu.se/Downloads/Transcripts/0%20-%20Government/USA%20-%20NASA%20Kennedy/"/>
    <hyperlink ref="C1192" r:id="rId1192" display="https://youtu.be/LTKsU2qe4tg"/>
    <hyperlink ref="F1192" r:id="rId2" display="https://files.afu.se/Downloads/Transcripts/0%20-%20Government/USA%20-%20NASA%20Kennedy/"/>
    <hyperlink ref="C1193" r:id="rId1193" display="https://youtu.be/eUUe1croU5E"/>
    <hyperlink ref="F1193" r:id="rId2" display="https://files.afu.se/Downloads/Transcripts/0%20-%20Government/USA%20-%20NASA%20Kennedy/"/>
    <hyperlink ref="C1194" r:id="rId1194" display="https://youtu.be/PjtsXSKG4t4"/>
    <hyperlink ref="F1194" r:id="rId2" display="https://files.afu.se/Downloads/Transcripts/0%20-%20Government/USA%20-%20NASA%20Kennedy/"/>
    <hyperlink ref="C1195" r:id="rId1195" display="https://youtu.be/BJWdnT3uMts"/>
    <hyperlink ref="F1195" r:id="rId2" display="https://files.afu.se/Downloads/Transcripts/0%20-%20Government/USA%20-%20NASA%20Kennedy/"/>
    <hyperlink ref="C1196" r:id="rId1196" display="https://youtu.be/WTIhylcZEjw"/>
    <hyperlink ref="F1196" r:id="rId2" display="https://files.afu.se/Downloads/Transcripts/0%20-%20Government/USA%20-%20NASA%20Kennedy/"/>
    <hyperlink ref="C1197" r:id="rId1197" display="https://youtu.be/0JfyWDsXZMg"/>
    <hyperlink ref="F1197" r:id="rId2" display="https://files.afu.se/Downloads/Transcripts/0%20-%20Government/USA%20-%20NASA%20Kennedy/"/>
    <hyperlink ref="C1198" r:id="rId1198" display="https://youtu.be/LxWdM7OB9KY"/>
    <hyperlink ref="F1198" r:id="rId2" display="https://files.afu.se/Downloads/Transcripts/0%20-%20Government/USA%20-%20NASA%20Kennedy/"/>
    <hyperlink ref="C1199" r:id="rId1199" display="https://youtu.be/mkT0KtyLgCU"/>
    <hyperlink ref="F1199" r:id="rId2" display="https://files.afu.se/Downloads/Transcripts/0%20-%20Government/USA%20-%20NASA%20Kennedy/"/>
    <hyperlink ref="C1200" r:id="rId1200" display="https://youtu.be/i5TKC1wDAWE"/>
    <hyperlink ref="F1200" r:id="rId2" display="https://files.afu.se/Downloads/Transcripts/0%20-%20Government/USA%20-%20NASA%20Kennedy/"/>
    <hyperlink ref="C1201" r:id="rId1201" display="https://youtu.be/dnerAF_vgFY"/>
    <hyperlink ref="F1201" r:id="rId2" display="https://files.afu.se/Downloads/Transcripts/0%20-%20Government/USA%20-%20NASA%20Kennedy/"/>
    <hyperlink ref="C1202" r:id="rId1202" display="https://youtu.be/5-pHpEcFt4g"/>
    <hyperlink ref="F1202" r:id="rId2" display="https://files.afu.se/Downloads/Transcripts/0%20-%20Government/USA%20-%20NASA%20Kennedy/"/>
    <hyperlink ref="C1203" r:id="rId1203" display="https://youtu.be/Nh2q29WP3Rw"/>
    <hyperlink ref="F1203" r:id="rId2" display="https://files.afu.se/Downloads/Transcripts/0%20-%20Government/USA%20-%20NASA%20Kennedy/"/>
    <hyperlink ref="C1204" r:id="rId1204" display="https://youtu.be/_6asnta7MXc"/>
    <hyperlink ref="F1204" r:id="rId2" display="https://files.afu.se/Downloads/Transcripts/0%20-%20Government/USA%20-%20NASA%20Kennedy/"/>
    <hyperlink ref="C1205" r:id="rId1205" display="https://youtu.be/S8NFLIJSMM4"/>
    <hyperlink ref="F1205" r:id="rId2" display="https://files.afu.se/Downloads/Transcripts/0%20-%20Government/USA%20-%20NASA%20Kennedy/"/>
    <hyperlink ref="C1206" r:id="rId1206" display="https://youtu.be/EwQnGxtm5V8"/>
    <hyperlink ref="F1206" r:id="rId2" display="https://files.afu.se/Downloads/Transcripts/0%20-%20Government/USA%20-%20NASA%20Kennedy/"/>
    <hyperlink ref="C1207" r:id="rId1207" display="https://youtu.be/3sxfsTzQ944"/>
    <hyperlink ref="F1207" r:id="rId2" display="https://files.afu.se/Downloads/Transcripts/0%20-%20Government/USA%20-%20NASA%20Kennedy/"/>
    <hyperlink ref="C1208" r:id="rId1208" display="https://youtu.be/wqT54JQpbf4"/>
    <hyperlink ref="F1208" r:id="rId2" display="https://files.afu.se/Downloads/Transcripts/0%20-%20Government/USA%20-%20NASA%20Kennedy/"/>
    <hyperlink ref="C1209" r:id="rId1209" display="https://youtu.be/r6upfrmeAVE"/>
    <hyperlink ref="F1209" r:id="rId2" display="https://files.afu.se/Downloads/Transcripts/0%20-%20Government/USA%20-%20NASA%20Kennedy/"/>
    <hyperlink ref="C1210" r:id="rId1210" display="https://youtu.be/h_QF5PPSO0k"/>
    <hyperlink ref="F1210" r:id="rId2" display="https://files.afu.se/Downloads/Transcripts/0%20-%20Government/USA%20-%20NASA%20Kennedy/"/>
    <hyperlink ref="C1211" r:id="rId1211" display="https://youtu.be/orA33vVJfo0"/>
    <hyperlink ref="F1211" r:id="rId2" display="https://files.afu.se/Downloads/Transcripts/0%20-%20Government/USA%20-%20NASA%20Kennedy/"/>
    <hyperlink ref="C1212" r:id="rId1212" display="https://youtu.be/WgpMKdQDjw4"/>
    <hyperlink ref="F1212" r:id="rId2" display="https://files.afu.se/Downloads/Transcripts/0%20-%20Government/USA%20-%20NASA%20Kennedy/"/>
    <hyperlink ref="C1213" r:id="rId1213" display="https://youtu.be/IqPF3cuxu9I"/>
    <hyperlink ref="F1213" r:id="rId2" display="https://files.afu.se/Downloads/Transcripts/0%20-%20Government/USA%20-%20NASA%20Kennedy/"/>
    <hyperlink ref="C1214" r:id="rId1214" display="https://youtu.be/hydyW4Vj8dM"/>
    <hyperlink ref="F1214" r:id="rId2" display="https://files.afu.se/Downloads/Transcripts/0%20-%20Government/USA%20-%20NASA%20Kennedy/"/>
    <hyperlink ref="C1215" r:id="rId1215" display="https://youtu.be/RXyzDUpE9Ks"/>
    <hyperlink ref="F1215" r:id="rId2" display="https://files.afu.se/Downloads/Transcripts/0%20-%20Government/USA%20-%20NASA%20Kennedy/"/>
    <hyperlink ref="C1216" r:id="rId1216" display="https://youtu.be/JyuXA5rNUaQ"/>
    <hyperlink ref="F1216" r:id="rId2" display="https://files.afu.se/Downloads/Transcripts/0%20-%20Government/USA%20-%20NASA%20Kennedy/"/>
    <hyperlink ref="C1217" r:id="rId1217" display="https://youtu.be/VUmeKMJn_Uc"/>
    <hyperlink ref="F1217" r:id="rId2" display="https://files.afu.se/Downloads/Transcripts/0%20-%20Government/USA%20-%20NASA%20Kennedy/"/>
    <hyperlink ref="C1218" r:id="rId1218" display="https://youtu.be/nDywZ-nhIb4"/>
    <hyperlink ref="F1218" r:id="rId2" display="https://files.afu.se/Downloads/Transcripts/0%20-%20Government/USA%20-%20NASA%20Kennedy/"/>
    <hyperlink ref="C1219" r:id="rId1219" display="https://youtu.be/-A5W6aLuo4E"/>
    <hyperlink ref="F1219" r:id="rId2" display="https://files.afu.se/Downloads/Transcripts/0%20-%20Government/USA%20-%20NASA%20Kennedy/"/>
    <hyperlink ref="C1220" r:id="rId1220" display="https://youtu.be/K4J6iF6_L9Y"/>
    <hyperlink ref="F1220" r:id="rId2" display="https://files.afu.se/Downloads/Transcripts/0%20-%20Government/USA%20-%20NASA%20Kennedy/"/>
    <hyperlink ref="C1221" r:id="rId1221" display="https://youtu.be/1iivVQonV_0"/>
    <hyperlink ref="F1221" r:id="rId2" display="https://files.afu.se/Downloads/Transcripts/0%20-%20Government/USA%20-%20NASA%20Kennedy/"/>
    <hyperlink ref="C1222" r:id="rId1222" display="https://youtu.be/y8IQw4dn-JE"/>
    <hyperlink ref="F1222" r:id="rId2" display="https://files.afu.se/Downloads/Transcripts/0%20-%20Government/USA%20-%20NASA%20Kennedy/"/>
    <hyperlink ref="C1223" r:id="rId1223" display="https://youtu.be/rMapGIBF3Gc"/>
    <hyperlink ref="F1223" r:id="rId2" display="https://files.afu.se/Downloads/Transcripts/0%20-%20Government/USA%20-%20NASA%20Kennedy/"/>
    <hyperlink ref="C1224" r:id="rId1224" display="https://youtu.be/SvVbNbYtxYw"/>
    <hyperlink ref="F1224" r:id="rId2" display="https://files.afu.se/Downloads/Transcripts/0%20-%20Government/USA%20-%20NASA%20Kennedy/"/>
    <hyperlink ref="C1225" r:id="rId1225" display="https://youtu.be/R4qiBeCCig0"/>
    <hyperlink ref="F1225" r:id="rId2" display="https://files.afu.se/Downloads/Transcripts/0%20-%20Government/USA%20-%20NASA%20Kennedy/"/>
    <hyperlink ref="C1226" r:id="rId1226" display="https://youtu.be/9mlaQothGWA"/>
    <hyperlink ref="F1226" r:id="rId2" display="https://files.afu.se/Downloads/Transcripts/0%20-%20Government/USA%20-%20NASA%20Kennedy/"/>
    <hyperlink ref="C1227" r:id="rId1227" display="https://youtu.be/2AXv-FO5dtE"/>
    <hyperlink ref="F1227" r:id="rId2" display="https://files.afu.se/Downloads/Transcripts/0%20-%20Government/USA%20-%20NASA%20Kennedy/"/>
    <hyperlink ref="C1228" r:id="rId1228" display="https://youtu.be/-As3rpz115A"/>
    <hyperlink ref="F1228" r:id="rId2" display="https://files.afu.se/Downloads/Transcripts/0%20-%20Government/USA%20-%20NASA%20Kennedy/"/>
    <hyperlink ref="C1229" r:id="rId1229" display="https://youtu.be/at9o_gjBrEU"/>
    <hyperlink ref="F1229" r:id="rId2" display="https://files.afu.se/Downloads/Transcripts/0%20-%20Government/USA%20-%20NASA%20Kennedy/"/>
    <hyperlink ref="C1230" r:id="rId1230" display="https://youtu.be/H7Gfoxs3TEk"/>
    <hyperlink ref="F1230" r:id="rId2" display="https://files.afu.se/Downloads/Transcripts/0%20-%20Government/USA%20-%20NASA%20Kennedy/"/>
    <hyperlink ref="C1231" r:id="rId1231" display="https://youtu.be/a6mC2TsTq-A"/>
    <hyperlink ref="F1231" r:id="rId2" display="https://files.afu.se/Downloads/Transcripts/0%20-%20Government/USA%20-%20NASA%20Kennedy/"/>
    <hyperlink ref="C1232" r:id="rId1232" display="https://youtu.be/H41R9qX6gzg"/>
    <hyperlink ref="F1232" r:id="rId2" display="https://files.afu.se/Downloads/Transcripts/0%20-%20Government/USA%20-%20NASA%20Kennedy/"/>
    <hyperlink ref="C1233" r:id="rId1233" display="https://youtu.be/QAgBOJAwmFk"/>
    <hyperlink ref="F1233" r:id="rId2" display="https://files.afu.se/Downloads/Transcripts/0%20-%20Government/USA%20-%20NASA%20Kennedy/"/>
    <hyperlink ref="C1234" r:id="rId1234" display="https://youtu.be/ZJSB4eaZvO4"/>
    <hyperlink ref="F1234" r:id="rId2" display="https://files.afu.se/Downloads/Transcripts/0%20-%20Government/USA%20-%20NASA%20Kennedy/"/>
    <hyperlink ref="C1235" r:id="rId1235" display="https://youtu.be/z2z-H3AFbIk"/>
    <hyperlink ref="F1235" r:id="rId2" display="https://files.afu.se/Downloads/Transcripts/0%20-%20Government/USA%20-%20NASA%20Kennedy/"/>
    <hyperlink ref="C1236" r:id="rId1236" display="https://youtu.be/4_ul4_9rzPI"/>
    <hyperlink ref="F1236" r:id="rId2" display="https://files.afu.se/Downloads/Transcripts/0%20-%20Government/USA%20-%20NASA%20Kennedy/"/>
    <hyperlink ref="C1237" r:id="rId1237" display="https://youtu.be/B0gJeMd1KHc"/>
    <hyperlink ref="F1237" r:id="rId2" display="https://files.afu.se/Downloads/Transcripts/0%20-%20Government/USA%20-%20NASA%20Kennedy/"/>
    <hyperlink ref="C1238" r:id="rId1238" display="https://youtu.be/u25lBSHAsCU"/>
    <hyperlink ref="F1238" r:id="rId2" display="https://files.afu.se/Downloads/Transcripts/0%20-%20Government/USA%20-%20NASA%20Kennedy/"/>
    <hyperlink ref="C1239" r:id="rId1239" display="https://youtu.be/CMMDGatv2lE"/>
    <hyperlink ref="F1239" r:id="rId2" display="https://files.afu.se/Downloads/Transcripts/0%20-%20Government/USA%20-%20NASA%20Kennedy/"/>
    <hyperlink ref="C1240" r:id="rId1240" display="https://youtu.be/FiqeUx6s81A"/>
    <hyperlink ref="F1240" r:id="rId2" display="https://files.afu.se/Downloads/Transcripts/0%20-%20Government/USA%20-%20NASA%20Kennedy/"/>
    <hyperlink ref="C1241" r:id="rId1241" display="https://youtu.be/UiRXVmx4RO8"/>
    <hyperlink ref="F1241" r:id="rId2" display="https://files.afu.se/Downloads/Transcripts/0%20-%20Government/USA%20-%20NASA%20Kennedy/"/>
    <hyperlink ref="C1242" r:id="rId1242" display="https://youtu.be/uJCwEFX2yRY"/>
    <hyperlink ref="F1242" r:id="rId2" display="https://files.afu.se/Downloads/Transcripts/0%20-%20Government/USA%20-%20NASA%20Kennedy/"/>
    <hyperlink ref="C1243" r:id="rId1243" display="https://youtu.be/AHUDQ30slCU"/>
    <hyperlink ref="F1243" r:id="rId2" display="https://files.afu.se/Downloads/Transcripts/0%20-%20Government/USA%20-%20NASA%20Kennedy/"/>
    <hyperlink ref="C1244" r:id="rId1244" display="https://youtu.be/WujwkKxR-e4"/>
    <hyperlink ref="F1244" r:id="rId2" display="https://files.afu.se/Downloads/Transcripts/0%20-%20Government/USA%20-%20NASA%20Kennedy/"/>
    <hyperlink ref="C1245" r:id="rId1245" display="https://youtu.be/NbaNleplrjs"/>
    <hyperlink ref="F1245" r:id="rId2" display="https://files.afu.se/Downloads/Transcripts/0%20-%20Government/USA%20-%20NASA%20Kennedy/"/>
    <hyperlink ref="C1246" r:id="rId1246" display="https://youtu.be/-4lktJBvKm8"/>
    <hyperlink ref="F1246" r:id="rId2" display="https://files.afu.se/Downloads/Transcripts/0%20-%20Government/USA%20-%20NASA%20Kennedy/"/>
    <hyperlink ref="C1247" r:id="rId1247" display="https://youtu.be/prPmciueUHA"/>
    <hyperlink ref="F1247" r:id="rId2" display="https://files.afu.se/Downloads/Transcripts/0%20-%20Government/USA%20-%20NASA%20Kennedy/"/>
    <hyperlink ref="C1248" r:id="rId1248" display="https://youtu.be/SsWS9hBDtyI"/>
    <hyperlink ref="F1248" r:id="rId2" display="https://files.afu.se/Downloads/Transcripts/0%20-%20Government/USA%20-%20NASA%20Kennedy/"/>
    <hyperlink ref="C1249" r:id="rId1249" display="https://youtu.be/DisyKIiceUk"/>
    <hyperlink ref="F1249" r:id="rId2" display="https://files.afu.se/Downloads/Transcripts/0%20-%20Government/USA%20-%20NASA%20Kennedy/"/>
    <hyperlink ref="C1250" r:id="rId1250" display="https://youtu.be/isHaxAVKOx0"/>
    <hyperlink ref="F1250" r:id="rId2" display="https://files.afu.se/Downloads/Transcripts/0%20-%20Government/USA%20-%20NASA%20Kennedy/"/>
    <hyperlink ref="C1251" r:id="rId1251" display="https://youtu.be/WrGEU5irS8o"/>
    <hyperlink ref="F1251" r:id="rId2" display="https://files.afu.se/Downloads/Transcripts/0%20-%20Government/USA%20-%20NASA%20Kennedy/"/>
    <hyperlink ref="C1252" r:id="rId1252" display="https://youtu.be/4ehCMvZX1SE"/>
    <hyperlink ref="F1252" r:id="rId2" display="https://files.afu.se/Downloads/Transcripts/0%20-%20Government/USA%20-%20NASA%20Kennedy/"/>
    <hyperlink ref="C1253" r:id="rId1253" display="https://youtu.be/qqNxssB26bo"/>
    <hyperlink ref="F1253" r:id="rId2" display="https://files.afu.se/Downloads/Transcripts/0%20-%20Government/USA%20-%20NASA%20Kennedy/"/>
    <hyperlink ref="C1254" r:id="rId1254" display="https://youtu.be/dlod2pBuLJg"/>
    <hyperlink ref="F1254" r:id="rId2" display="https://files.afu.se/Downloads/Transcripts/0%20-%20Government/USA%20-%20NASA%20Kennedy/"/>
    <hyperlink ref="C1255" r:id="rId1255" display="https://youtu.be/9VMiKodZ3ow"/>
    <hyperlink ref="F1255" r:id="rId2" display="https://files.afu.se/Downloads/Transcripts/0%20-%20Government/USA%20-%20NASA%20Kennedy/"/>
    <hyperlink ref="C1256" r:id="rId1256" display="https://youtu.be/isUsWZ9aVK4"/>
    <hyperlink ref="F1256" r:id="rId2" display="https://files.afu.se/Downloads/Transcripts/0%20-%20Government/USA%20-%20NASA%20Kennedy/"/>
    <hyperlink ref="C1257" r:id="rId1257" display="https://youtu.be/blUCRZytZCU"/>
    <hyperlink ref="F1257" r:id="rId2" display="https://files.afu.se/Downloads/Transcripts/0%20-%20Government/USA%20-%20NASA%20Kennedy/"/>
    <hyperlink ref="C1258" r:id="rId1258" display="https://youtu.be/1lByXTVwvRM"/>
    <hyperlink ref="F1258" r:id="rId2" display="https://files.afu.se/Downloads/Transcripts/0%20-%20Government/USA%20-%20NASA%20Kennedy/"/>
    <hyperlink ref="C1259" r:id="rId1259" display="https://youtu.be/swDmUBCB2DY"/>
    <hyperlink ref="F1259" r:id="rId2" display="https://files.afu.se/Downloads/Transcripts/0%20-%20Government/USA%20-%20NASA%20Kennedy/"/>
    <hyperlink ref="C1260" r:id="rId1260" display="https://youtu.be/eV95tzgh3rs"/>
    <hyperlink ref="F1260" r:id="rId2" display="https://files.afu.se/Downloads/Transcripts/0%20-%20Government/USA%20-%20NASA%20Kennedy/"/>
    <hyperlink ref="C1261" r:id="rId1261" display="https://youtu.be/t6pcgYHe0p0"/>
    <hyperlink ref="F1261" r:id="rId2" display="https://files.afu.se/Downloads/Transcripts/0%20-%20Government/USA%20-%20NASA%20Kennedy/"/>
    <hyperlink ref="C1262" r:id="rId1262" display="https://youtu.be/Zfgu97xjGbU"/>
    <hyperlink ref="F1262" r:id="rId2" display="https://files.afu.se/Downloads/Transcripts/0%20-%20Government/USA%20-%20NASA%20Kennedy/"/>
    <hyperlink ref="C1263" r:id="rId1263" display="https://youtu.be/CYppcUc36mg"/>
    <hyperlink ref="F1263" r:id="rId2" display="https://files.afu.se/Downloads/Transcripts/0%20-%20Government/USA%20-%20NASA%20Kennedy/"/>
    <hyperlink ref="C1264" r:id="rId1264" display="https://youtu.be/L_VteT0rdy8"/>
    <hyperlink ref="F1264" r:id="rId2" display="https://files.afu.se/Downloads/Transcripts/0%20-%20Government/USA%20-%20NASA%20Kennedy/"/>
    <hyperlink ref="C1265" r:id="rId1265" display="https://youtu.be/4vkqBfv8OMM"/>
    <hyperlink ref="F1265" r:id="rId2" display="https://files.afu.se/Downloads/Transcripts/0%20-%20Government/USA%20-%20NASA%20Kennedy/"/>
    <hyperlink ref="C1266" r:id="rId1266" display="https://youtu.be/JG1-51ZCpwU"/>
    <hyperlink ref="F1266" r:id="rId2" display="https://files.afu.se/Downloads/Transcripts/0%20-%20Government/USA%20-%20NASA%20Kennedy/"/>
    <hyperlink ref="C1267" r:id="rId1267" display="https://youtu.be/CfamPxPI-CQ"/>
    <hyperlink ref="F1267" r:id="rId2" display="https://files.afu.se/Downloads/Transcripts/0%20-%20Government/USA%20-%20NASA%20Kennedy/"/>
    <hyperlink ref="C1268" r:id="rId1268" display="https://youtu.be/XMCr04GXQeM"/>
    <hyperlink ref="F1268" r:id="rId2" display="https://files.afu.se/Downloads/Transcripts/0%20-%20Government/USA%20-%20NASA%20Kennedy/"/>
    <hyperlink ref="C1269" r:id="rId1269" display="https://youtu.be/r-PDeZSsTqo"/>
    <hyperlink ref="F1269" r:id="rId2" display="https://files.afu.se/Downloads/Transcripts/0%20-%20Government/USA%20-%20NASA%20Kennedy/"/>
    <hyperlink ref="C1270" r:id="rId1270" display="https://youtu.be/4lRA7xL_xgM"/>
    <hyperlink ref="F1270" r:id="rId2" display="https://files.afu.se/Downloads/Transcripts/0%20-%20Government/USA%20-%20NASA%20Kennedy/"/>
    <hyperlink ref="C1271" r:id="rId1271" display="https://youtu.be/s71kyRGy7FE"/>
    <hyperlink ref="F1271" r:id="rId2" display="https://files.afu.se/Downloads/Transcripts/0%20-%20Government/USA%20-%20NASA%20Kennedy/"/>
    <hyperlink ref="C1272" r:id="rId1272" display="https://youtu.be/M3Fg0XrQBmU"/>
    <hyperlink ref="F1272" r:id="rId2" display="https://files.afu.se/Downloads/Transcripts/0%20-%20Government/USA%20-%20NASA%20Kennedy/"/>
    <hyperlink ref="C1273" r:id="rId1273" display="https://youtu.be/vYSPGCOFNzQ"/>
    <hyperlink ref="F1273" r:id="rId2" display="https://files.afu.se/Downloads/Transcripts/0%20-%20Government/USA%20-%20NASA%20Kennedy/"/>
    <hyperlink ref="C1274" r:id="rId1274" display="https://youtu.be/6GW7FGt19wA"/>
    <hyperlink ref="F1274" r:id="rId2" display="https://files.afu.se/Downloads/Transcripts/0%20-%20Government/USA%20-%20NASA%20Kennedy/"/>
    <hyperlink ref="C1275" r:id="rId1275" display="https://youtu.be/HneS8n6xIOM"/>
    <hyperlink ref="F1275" r:id="rId2" display="https://files.afu.se/Downloads/Transcripts/0%20-%20Government/USA%20-%20NASA%20Kennedy/"/>
    <hyperlink ref="C1276" r:id="rId1276" display="https://youtu.be/hBN1LHKGjXM"/>
    <hyperlink ref="F1276" r:id="rId2" display="https://files.afu.se/Downloads/Transcripts/0%20-%20Government/USA%20-%20NASA%20Kennedy/"/>
    <hyperlink ref="C1277" r:id="rId1277" display="https://youtu.be/objbcnqCmXk"/>
    <hyperlink ref="F1277" r:id="rId2" display="https://files.afu.se/Downloads/Transcripts/0%20-%20Government/USA%20-%20NASA%20Kennedy/"/>
    <hyperlink ref="C1278" r:id="rId1278" display="https://youtu.be/TGMWdtQYkbc"/>
    <hyperlink ref="F1278" r:id="rId2" display="https://files.afu.se/Downloads/Transcripts/0%20-%20Government/USA%20-%20NASA%20Kennedy/"/>
    <hyperlink ref="C1279" r:id="rId1279" display="https://youtu.be/MnJ6Aexdldg"/>
    <hyperlink ref="F1279" r:id="rId2" display="https://files.afu.se/Downloads/Transcripts/0%20-%20Government/USA%20-%20NASA%20Kennedy/"/>
    <hyperlink ref="C1280" r:id="rId1280" display="https://youtu.be/o1WcJDMlfCA"/>
    <hyperlink ref="F1280" r:id="rId2" display="https://files.afu.se/Downloads/Transcripts/0%20-%20Government/USA%20-%20NASA%20Kennedy/"/>
    <hyperlink ref="C1281" r:id="rId1281" display="https://youtu.be/4J5q2nMeqoQ"/>
    <hyperlink ref="F1281" r:id="rId2" display="https://files.afu.se/Downloads/Transcripts/0%20-%20Government/USA%20-%20NASA%20Kennedy/"/>
    <hyperlink ref="C1282" r:id="rId1282" display="https://youtu.be/fpUOOBNK_vM"/>
    <hyperlink ref="F1282" r:id="rId2" display="https://files.afu.se/Downloads/Transcripts/0%20-%20Government/USA%20-%20NASA%20Kennedy/"/>
    <hyperlink ref="C1283" r:id="rId1283" display="https://youtu.be/rlk6ZyBap6U"/>
    <hyperlink ref="F1283" r:id="rId2" display="https://files.afu.se/Downloads/Transcripts/0%20-%20Government/USA%20-%20NASA%20Kennedy/"/>
    <hyperlink ref="C1284" r:id="rId1284" display="https://youtu.be/nZ9NKStsYRc"/>
    <hyperlink ref="F1284" r:id="rId2" display="https://files.afu.se/Downloads/Transcripts/0%20-%20Government/USA%20-%20NASA%20Kennedy/"/>
    <hyperlink ref="C1285" r:id="rId1285" display="https://youtu.be/1zjfXm07Dg8"/>
    <hyperlink ref="F1285" r:id="rId2" display="https://files.afu.se/Downloads/Transcripts/0%20-%20Government/USA%20-%20NASA%20Kennedy/"/>
    <hyperlink ref="C1286" r:id="rId1286" display="https://youtu.be/uSwwYl3lRtc"/>
    <hyperlink ref="F1286" r:id="rId2" display="https://files.afu.se/Downloads/Transcripts/0%20-%20Government/USA%20-%20NASA%20Kennedy/"/>
    <hyperlink ref="C1287" r:id="rId1287" display="https://youtu.be/K5mdGyAgrwg"/>
    <hyperlink ref="F1287" r:id="rId2" display="https://files.afu.se/Downloads/Transcripts/0%20-%20Government/USA%20-%20NASA%20Kennedy/"/>
    <hyperlink ref="C1288" r:id="rId1288" display="https://youtu.be/fFsHG8JEaA0"/>
    <hyperlink ref="F1288" r:id="rId2" display="https://files.afu.se/Downloads/Transcripts/0%20-%20Government/USA%20-%20NASA%20Kennedy/"/>
    <hyperlink ref="C1289" r:id="rId1289" display="https://youtu.be/0NXWL99lcJs"/>
    <hyperlink ref="F1289" r:id="rId2" display="https://files.afu.se/Downloads/Transcripts/0%20-%20Government/USA%20-%20NASA%20Kennedy/"/>
    <hyperlink ref="C1290" r:id="rId1290" display="https://youtu.be/-Fi1UNsr1ek"/>
    <hyperlink ref="F1290" r:id="rId2" display="https://files.afu.se/Downloads/Transcripts/0%20-%20Government/USA%20-%20NASA%20Kennedy/"/>
    <hyperlink ref="C1291" r:id="rId1291" display="https://youtu.be/iTtti4JKbUA"/>
    <hyperlink ref="F1291" r:id="rId2" display="https://files.afu.se/Downloads/Transcripts/0%20-%20Government/USA%20-%20NASA%20Kennedy/"/>
    <hyperlink ref="C1292" r:id="rId1292" display="https://youtu.be/GYyoOkv5ahk"/>
    <hyperlink ref="F1292" r:id="rId2" display="https://files.afu.se/Downloads/Transcripts/0%20-%20Government/USA%20-%20NASA%20Kennedy/"/>
    <hyperlink ref="C1293" r:id="rId1293" display="https://youtu.be/5Wpo_VVhSZ0"/>
    <hyperlink ref="F1293" r:id="rId2" display="https://files.afu.se/Downloads/Transcripts/0%20-%20Government/USA%20-%20NASA%20Kennedy/"/>
    <hyperlink ref="C1294" r:id="rId1294" display="https://youtu.be/Fxzwf99_feo"/>
    <hyperlink ref="F1294" r:id="rId2" display="https://files.afu.se/Downloads/Transcripts/0%20-%20Government/USA%20-%20NASA%20Kennedy/"/>
    <hyperlink ref="C1295" r:id="rId1295" display="https://youtu.be/xTyWl8TPNBM"/>
    <hyperlink ref="F1295" r:id="rId2" display="https://files.afu.se/Downloads/Transcripts/0%20-%20Government/USA%20-%20NASA%20Kennedy/"/>
    <hyperlink ref="C1296" r:id="rId1296" display="https://youtu.be/1QCNsKricls"/>
    <hyperlink ref="F1296" r:id="rId2" display="https://files.afu.se/Downloads/Transcripts/0%20-%20Government/USA%20-%20NASA%20Kennedy/"/>
    <hyperlink ref="C1297" r:id="rId1297" display="https://youtu.be/6H6M2NzzOko"/>
    <hyperlink ref="F1297" r:id="rId2" display="https://files.afu.se/Downloads/Transcripts/0%20-%20Government/USA%20-%20NASA%20Kennedy/"/>
    <hyperlink ref="C1298" r:id="rId1298" display="https://youtu.be/5K4rjuPsYr8"/>
    <hyperlink ref="F1298" r:id="rId2" display="https://files.afu.se/Downloads/Transcripts/0%20-%20Government/USA%20-%20NASA%20Kennedy/"/>
    <hyperlink ref="C1299" r:id="rId1299" display="https://youtu.be/HDXl_SOjUV0"/>
    <hyperlink ref="F1299" r:id="rId2" display="https://files.afu.se/Downloads/Transcripts/0%20-%20Government/USA%20-%20NASA%20Kennedy/"/>
    <hyperlink ref="C1300" r:id="rId1300" display="https://youtu.be/BfKWLKWKPIE"/>
    <hyperlink ref="F1300" r:id="rId2" display="https://files.afu.se/Downloads/Transcripts/0%20-%20Government/USA%20-%20NASA%20Kennedy/"/>
    <hyperlink ref="C1301" r:id="rId1301" display="https://youtu.be/bZBWk6UJxu4"/>
    <hyperlink ref="F1301" r:id="rId2" display="https://files.afu.se/Downloads/Transcripts/0%20-%20Government/USA%20-%20NASA%20Kennedy/"/>
    <hyperlink ref="C1302" r:id="rId1302" display="https://youtu.be/5s1pCS5coX4"/>
    <hyperlink ref="F1302" r:id="rId2" display="https://files.afu.se/Downloads/Transcripts/0%20-%20Government/USA%20-%20NASA%20Kennedy/"/>
    <hyperlink ref="C1303" r:id="rId1303" display="https://youtu.be/1UwFJML0fUI"/>
    <hyperlink ref="F1303" r:id="rId2" display="https://files.afu.se/Downloads/Transcripts/0%20-%20Government/USA%20-%20NASA%20Kennedy/"/>
    <hyperlink ref="C1304" r:id="rId1304" display="https://youtu.be/GREwspcOspM"/>
    <hyperlink ref="F1304" r:id="rId2" display="https://files.afu.se/Downloads/Transcripts/0%20-%20Government/USA%20-%20NASA%20Kennedy/"/>
    <hyperlink ref="C1305" r:id="rId1305" display="https://youtu.be/Ny4IP7PF1Yw"/>
    <hyperlink ref="F1305" r:id="rId2" display="https://files.afu.se/Downloads/Transcripts/0%20-%20Government/USA%20-%20NASA%20Kennedy/"/>
    <hyperlink ref="C1306" r:id="rId1306" display="https://youtu.be/4e-bqzaZh-o"/>
    <hyperlink ref="F1306" r:id="rId2" display="https://files.afu.se/Downloads/Transcripts/0%20-%20Government/USA%20-%20NASA%20Kennedy/"/>
    <hyperlink ref="C1307" r:id="rId1307" display="https://youtu.be/KZZ6j4JZ6_0"/>
    <hyperlink ref="F1307" r:id="rId2" display="https://files.afu.se/Downloads/Transcripts/0%20-%20Government/USA%20-%20NASA%20Kennedy/"/>
    <hyperlink ref="C1308" r:id="rId1308" display="https://youtu.be/mFnZParBQcg"/>
    <hyperlink ref="F1308" r:id="rId2" display="https://files.afu.se/Downloads/Transcripts/0%20-%20Government/USA%20-%20NASA%20Kennedy/"/>
    <hyperlink ref="C1309" r:id="rId1309" display="https://youtu.be/pXxE-7hmcE0"/>
    <hyperlink ref="F1309" r:id="rId2" display="https://files.afu.se/Downloads/Transcripts/0%20-%20Government/USA%20-%20NASA%20Kennedy/"/>
    <hyperlink ref="C1310" r:id="rId1310" display="https://youtu.be/Z7Wvh9OOeng"/>
    <hyperlink ref="F1310" r:id="rId2" display="https://files.afu.se/Downloads/Transcripts/0%20-%20Government/USA%20-%20NASA%20Kennedy/"/>
    <hyperlink ref="C1311" r:id="rId1311" display="https://youtu.be/UA1bi_-kHjw"/>
    <hyperlink ref="F1311" r:id="rId2" display="https://files.afu.se/Downloads/Transcripts/0%20-%20Government/USA%20-%20NASA%20Kennedy/"/>
    <hyperlink ref="C1312" r:id="rId1312" display="https://youtu.be/aRaO9av02GQ"/>
    <hyperlink ref="F1312" r:id="rId2" display="https://files.afu.se/Downloads/Transcripts/0%20-%20Government/USA%20-%20NASA%20Kennedy/"/>
    <hyperlink ref="C1313" r:id="rId1313" display="https://youtu.be/cg9Z0-WEQIQ"/>
    <hyperlink ref="F1313" r:id="rId2" display="https://files.afu.se/Downloads/Transcripts/0%20-%20Government/USA%20-%20NASA%20Kennedy/"/>
    <hyperlink ref="C1314" r:id="rId1314" display="https://youtu.be/4vU40yJ2V4Q"/>
    <hyperlink ref="F1314" r:id="rId2" display="https://files.afu.se/Downloads/Transcripts/0%20-%20Government/USA%20-%20NASA%20Kennedy/"/>
    <hyperlink ref="C1315" r:id="rId1315" display="https://youtu.be/DmqDP-3Kkck"/>
    <hyperlink ref="F1315" r:id="rId2" display="https://files.afu.se/Downloads/Transcripts/0%20-%20Government/USA%20-%20NASA%20Kennedy/"/>
    <hyperlink ref="C1316" r:id="rId1316" display="https://youtu.be/i6qXl6FF3hg"/>
    <hyperlink ref="F1316" r:id="rId2" display="https://files.afu.se/Downloads/Transcripts/0%20-%20Government/USA%20-%20NASA%20Kennedy/"/>
    <hyperlink ref="C1317" r:id="rId1317" display="https://youtu.be/RVnz1JVaNYk"/>
    <hyperlink ref="F1317" r:id="rId2" display="https://files.afu.se/Downloads/Transcripts/0%20-%20Government/USA%20-%20NASA%20Kennedy/"/>
    <hyperlink ref="C1318" r:id="rId1318" display="https://youtu.be/pOernXaSfx0"/>
    <hyperlink ref="F1318" r:id="rId2" display="https://files.afu.se/Downloads/Transcripts/0%20-%20Government/USA%20-%20NASA%20Kennedy/"/>
    <hyperlink ref="C1319" r:id="rId1319" display="https://youtu.be/3s8DNLhxakA"/>
    <hyperlink ref="F1319" r:id="rId2" display="https://files.afu.se/Downloads/Transcripts/0%20-%20Government/USA%20-%20NASA%20Kennedy/"/>
    <hyperlink ref="C1320" r:id="rId1320" display="https://youtu.be/cn4MVoIEJvU"/>
    <hyperlink ref="F1320" r:id="rId2" display="https://files.afu.se/Downloads/Transcripts/0%20-%20Government/USA%20-%20NASA%20Kennedy/"/>
    <hyperlink ref="C1321" r:id="rId1321" display="https://youtu.be/quISTvkwo-s"/>
    <hyperlink ref="F1321" r:id="rId2" display="https://files.afu.se/Downloads/Transcripts/0%20-%20Government/USA%20-%20NASA%20Kennedy/"/>
    <hyperlink ref="C1322" r:id="rId1322" display="https://youtu.be/xQ1ToQxCYno"/>
    <hyperlink ref="F1322" r:id="rId2" display="https://files.afu.se/Downloads/Transcripts/0%20-%20Government/USA%20-%20NASA%20Kennedy/"/>
    <hyperlink ref="C1323" r:id="rId1323" display="https://youtu.be/pKxiuk0MhA4"/>
    <hyperlink ref="F1323" r:id="rId2" display="https://files.afu.se/Downloads/Transcripts/0%20-%20Government/USA%20-%20NASA%20Kennedy/"/>
    <hyperlink ref="C1324" r:id="rId1324" display="https://youtu.be/PKd4hK9AU9w"/>
    <hyperlink ref="F1324" r:id="rId2" display="https://files.afu.se/Downloads/Transcripts/0%20-%20Government/USA%20-%20NASA%20Kennedy/"/>
    <hyperlink ref="C1325" r:id="rId1325" display="https://youtu.be/O-JHL44gkmM"/>
    <hyperlink ref="F1325" r:id="rId2" display="https://files.afu.se/Downloads/Transcripts/0%20-%20Government/USA%20-%20NASA%20Kennedy/"/>
    <hyperlink ref="C1326" r:id="rId1326" display="https://youtu.be/Y90bXUorNZQ"/>
    <hyperlink ref="F1326" r:id="rId2" display="https://files.afu.se/Downloads/Transcripts/0%20-%20Government/USA%20-%20NASA%20Kennedy/"/>
    <hyperlink ref="C1327" r:id="rId1327" display="https://youtu.be/AstbjxYNwqM"/>
    <hyperlink ref="F1327" r:id="rId2" display="https://files.afu.se/Downloads/Transcripts/0%20-%20Government/USA%20-%20NASA%20Kennedy/"/>
    <hyperlink ref="C1328" r:id="rId1328" display="https://youtu.be/j3ToJirqASc"/>
    <hyperlink ref="F1328" r:id="rId2" display="https://files.afu.se/Downloads/Transcripts/0%20-%20Government/USA%20-%20NASA%20Kennedy/"/>
    <hyperlink ref="C1329" r:id="rId1329" display="https://youtu.be/gVZrSNjPbzM"/>
    <hyperlink ref="F1329" r:id="rId2" display="https://files.afu.se/Downloads/Transcripts/0%20-%20Government/USA%20-%20NASA%20Kennedy/"/>
    <hyperlink ref="C1330" r:id="rId1330" display="https://youtu.be/VeI5TrOWHqs"/>
    <hyperlink ref="F1330" r:id="rId2" display="https://files.afu.se/Downloads/Transcripts/0%20-%20Government/USA%20-%20NASA%20Kennedy/"/>
    <hyperlink ref="C1331" r:id="rId1331" display="https://youtu.be/YICa1oeS0Fg"/>
    <hyperlink ref="F1331" r:id="rId2" display="https://files.afu.se/Downloads/Transcripts/0%20-%20Government/USA%20-%20NASA%20Kennedy/"/>
    <hyperlink ref="C1332" r:id="rId1332" display="https://youtu.be/4EVCDiQTfYA"/>
    <hyperlink ref="F1332" r:id="rId2" display="https://files.afu.se/Downloads/Transcripts/0%20-%20Government/USA%20-%20NASA%20Kennedy/"/>
    <hyperlink ref="C1333" r:id="rId1333" display="https://youtu.be/mfjGKtqO-v0"/>
    <hyperlink ref="F1333" r:id="rId2" display="https://files.afu.se/Downloads/Transcripts/0%20-%20Government/USA%20-%20NASA%20Kennedy/"/>
    <hyperlink ref="C1334" r:id="rId1334" display="https://youtu.be/iv28NUxK_tY"/>
    <hyperlink ref="F1334" r:id="rId2" display="https://files.afu.se/Downloads/Transcripts/0%20-%20Government/USA%20-%20NASA%20Kennedy/"/>
    <hyperlink ref="C1335" r:id="rId1335" display="https://youtu.be/niafVTy3iIM"/>
    <hyperlink ref="F1335" r:id="rId2" display="https://files.afu.se/Downloads/Transcripts/0%20-%20Government/USA%20-%20NASA%20Kennedy/"/>
    <hyperlink ref="C1336" r:id="rId1336" display="https://youtu.be/0Pk5NPQDO_o"/>
    <hyperlink ref="F1336" r:id="rId2" display="https://files.afu.se/Downloads/Transcripts/0%20-%20Government/USA%20-%20NASA%20Kennedy/"/>
    <hyperlink ref="C1337" r:id="rId1337" display="https://youtu.be/ouNiZCw4bDU"/>
    <hyperlink ref="F1337" r:id="rId2" display="https://files.afu.se/Downloads/Transcripts/0%20-%20Government/USA%20-%20NASA%20Kennedy/"/>
    <hyperlink ref="C1338" r:id="rId1338" display="https://youtu.be/7tMjZAFE6fU"/>
    <hyperlink ref="F1338" r:id="rId2" display="https://files.afu.se/Downloads/Transcripts/0%20-%20Government/USA%20-%20NASA%20Kennedy/"/>
    <hyperlink ref="C1339" r:id="rId1339" display="https://youtu.be/0fVAMaV7syE"/>
    <hyperlink ref="F1339" r:id="rId2" display="https://files.afu.se/Downloads/Transcripts/0%20-%20Government/USA%20-%20NASA%20Kennedy/"/>
    <hyperlink ref="C1340" r:id="rId1340" display="https://youtu.be/pqAUjItddww"/>
    <hyperlink ref="F1340" r:id="rId2" display="https://files.afu.se/Downloads/Transcripts/0%20-%20Government/USA%20-%20NASA%20Kennedy/"/>
    <hyperlink ref="C1341" r:id="rId1341" display="https://youtu.be/0oSTDKK2QW0"/>
    <hyperlink ref="F1341" r:id="rId2" display="https://files.afu.se/Downloads/Transcripts/0%20-%20Government/USA%20-%20NASA%20Kennedy/"/>
    <hyperlink ref="C1342" r:id="rId1342" display="https://youtu.be/7bVNYLE5PFQ"/>
    <hyperlink ref="F1342" r:id="rId2" display="https://files.afu.se/Downloads/Transcripts/0%20-%20Government/USA%20-%20NASA%20Kennedy/"/>
    <hyperlink ref="C1343" r:id="rId1343" display="https://youtu.be/tgp33OYAJ18"/>
    <hyperlink ref="F1343" r:id="rId2" display="https://files.afu.se/Downloads/Transcripts/0%20-%20Government/USA%20-%20NASA%20Kennedy/"/>
    <hyperlink ref="C1344" r:id="rId1344" display="https://youtu.be/GEJUGdvMVGk"/>
    <hyperlink ref="F1344" r:id="rId2" display="https://files.afu.se/Downloads/Transcripts/0%20-%20Government/USA%20-%20NASA%20Kennedy/"/>
    <hyperlink ref="C1345" r:id="rId1345" display="https://youtu.be/aEhfEZZhKa0"/>
    <hyperlink ref="F1345" r:id="rId2" display="https://files.afu.se/Downloads/Transcripts/0%20-%20Government/USA%20-%20NASA%20Kennedy/"/>
    <hyperlink ref="C1346" r:id="rId1346" display="https://youtu.be/HK0WqrkuAic"/>
    <hyperlink ref="F1346" r:id="rId2" display="https://files.afu.se/Downloads/Transcripts/0%20-%20Government/USA%20-%20NASA%20Kennedy/"/>
    <hyperlink ref="C1347" r:id="rId1347" display="https://youtu.be/TrOwm2q019Q"/>
    <hyperlink ref="F1347" r:id="rId2" display="https://files.afu.se/Downloads/Transcripts/0%20-%20Government/USA%20-%20NASA%20Kennedy/"/>
    <hyperlink ref="C1348" r:id="rId1348" display="https://youtu.be/Pc18Sjz2-Rg"/>
    <hyperlink ref="F1348" r:id="rId2" display="https://files.afu.se/Downloads/Transcripts/0%20-%20Government/USA%20-%20NASA%20Kennedy/"/>
    <hyperlink ref="C1349" r:id="rId1349" display="https://youtu.be/UHKuORG_XKI"/>
    <hyperlink ref="F1349" r:id="rId2" display="https://files.afu.se/Downloads/Transcripts/0%20-%20Government/USA%20-%20NASA%20Kennedy/"/>
    <hyperlink ref="C1350" r:id="rId1350" display="https://youtu.be/BRzf-UbYmhM"/>
    <hyperlink ref="F1350" r:id="rId2" display="https://files.afu.se/Downloads/Transcripts/0%20-%20Government/USA%20-%20NASA%20Kennedy/"/>
    <hyperlink ref="C1351" r:id="rId1351" display="https://youtu.be/_5td92FfgHk"/>
    <hyperlink ref="F1351" r:id="rId2" display="https://files.afu.se/Downloads/Transcripts/0%20-%20Government/USA%20-%20NASA%20Kennedy/"/>
    <hyperlink ref="C1352" r:id="rId1352" display="https://youtu.be/y-5Jj7DDfqg"/>
    <hyperlink ref="F1352" r:id="rId2" display="https://files.afu.se/Downloads/Transcripts/0%20-%20Government/USA%20-%20NASA%20Kennedy/"/>
    <hyperlink ref="C1353" r:id="rId1353" display="https://youtu.be/oJLgMxGOqUw"/>
    <hyperlink ref="F1353" r:id="rId2" display="https://files.afu.se/Downloads/Transcripts/0%20-%20Government/USA%20-%20NASA%20Kennedy/"/>
    <hyperlink ref="C1354" r:id="rId1354" display="https://youtu.be/pUg7vkoC4Cc"/>
    <hyperlink ref="F1354" r:id="rId2" display="https://files.afu.se/Downloads/Transcripts/0%20-%20Government/USA%20-%20NASA%20Kennedy/"/>
    <hyperlink ref="C1355" r:id="rId1355" display="https://youtu.be/L7z3iA1Iruw"/>
    <hyperlink ref="F1355" r:id="rId2" display="https://files.afu.se/Downloads/Transcripts/0%20-%20Government/USA%20-%20NASA%20Kennedy/"/>
    <hyperlink ref="C1356" r:id="rId1356" display="https://youtu.be/1AscBT6Vt8c"/>
    <hyperlink ref="F1356" r:id="rId2" display="https://files.afu.se/Downloads/Transcripts/0%20-%20Government/USA%20-%20NASA%20Kennedy/"/>
    <hyperlink ref="C1357" r:id="rId1357" display="https://youtu.be/fa-m9gptKVE"/>
    <hyperlink ref="F1357" r:id="rId2" display="https://files.afu.se/Downloads/Transcripts/0%20-%20Government/USA%20-%20NASA%20Kennedy/"/>
    <hyperlink ref="C1358" r:id="rId1358" display="https://youtu.be/DVObUdv0_cQ"/>
    <hyperlink ref="F1358" r:id="rId2" display="https://files.afu.se/Downloads/Transcripts/0%20-%20Government/USA%20-%20NASA%20Kennedy/"/>
    <hyperlink ref="C1359" r:id="rId1359" display="https://youtu.be/Ejwe3PnWn88"/>
    <hyperlink ref="F1359" r:id="rId2" display="https://files.afu.se/Downloads/Transcripts/0%20-%20Government/USA%20-%20NASA%20Kennedy/"/>
    <hyperlink ref="C1360" r:id="rId1360" display="https://youtu.be/C_8cfzWoYVQ"/>
    <hyperlink ref="F1360" r:id="rId2" display="https://files.afu.se/Downloads/Transcripts/0%20-%20Government/USA%20-%20NASA%20Kennedy/"/>
    <hyperlink ref="C1361" r:id="rId1361" display="https://youtu.be/uSpZtTrQo_A"/>
    <hyperlink ref="F1361" r:id="rId2" display="https://files.afu.se/Downloads/Transcripts/0%20-%20Government/USA%20-%20NASA%20Kennedy/"/>
    <hyperlink ref="C1362" r:id="rId1362" display="https://youtu.be/j9xDiEFew5o"/>
    <hyperlink ref="F1362" r:id="rId2" display="https://files.afu.se/Downloads/Transcripts/0%20-%20Government/USA%20-%20NASA%20Kennedy/"/>
    <hyperlink ref="C1363" r:id="rId1363" display="https://youtu.be/Pg5U4pA87yQ"/>
    <hyperlink ref="F1363" r:id="rId2" display="https://files.afu.se/Downloads/Transcripts/0%20-%20Government/USA%20-%20NASA%20Kennedy/"/>
    <hyperlink ref="C1364" r:id="rId1364" display="https://youtu.be/akztqVmxSfk"/>
    <hyperlink ref="F1364" r:id="rId2" display="https://files.afu.se/Downloads/Transcripts/0%20-%20Government/USA%20-%20NASA%20Kennedy/"/>
    <hyperlink ref="C1365" r:id="rId1365" display="https://youtu.be/ldlphfRuk1Q"/>
    <hyperlink ref="F1365" r:id="rId2" display="https://files.afu.se/Downloads/Transcripts/0%20-%20Government/USA%20-%20NASA%20Kennedy/"/>
    <hyperlink ref="C1366" r:id="rId1366" display="https://youtu.be/f3e1CsCKUgk"/>
    <hyperlink ref="F1366" r:id="rId2" display="https://files.afu.se/Downloads/Transcripts/0%20-%20Government/USA%20-%20NASA%20Kennedy/"/>
    <hyperlink ref="C1367" r:id="rId1367" display="https://youtu.be/7aKYeRSYLB0"/>
    <hyperlink ref="F1367" r:id="rId2" display="https://files.afu.se/Downloads/Transcripts/0%20-%20Government/USA%20-%20NASA%20Kennedy/"/>
    <hyperlink ref="C1368" r:id="rId1368" display="https://youtu.be/1EOPPM5bfGc"/>
    <hyperlink ref="F1368" r:id="rId2" display="https://files.afu.se/Downloads/Transcripts/0%20-%20Government/USA%20-%20NASA%20Kennedy/"/>
    <hyperlink ref="C1369" r:id="rId1369" display="https://youtu.be/diYnjymyruM"/>
    <hyperlink ref="F1369" r:id="rId2" display="https://files.afu.se/Downloads/Transcripts/0%20-%20Government/USA%20-%20NASA%20Kennedy/"/>
    <hyperlink ref="C1370" r:id="rId1370" display="https://youtu.be/vE441pjBF7o"/>
    <hyperlink ref="F1370" r:id="rId2" display="https://files.afu.se/Downloads/Transcripts/0%20-%20Government/USA%20-%20NASA%20Kennedy/"/>
    <hyperlink ref="C1371" r:id="rId1371" display="https://youtu.be/4NrUsIKtRG8"/>
    <hyperlink ref="F1371" r:id="rId2" display="https://files.afu.se/Downloads/Transcripts/0%20-%20Government/USA%20-%20NASA%20Kennedy/"/>
    <hyperlink ref="C1372" r:id="rId1372" display="https://youtu.be/T_VJUeXS6F4"/>
    <hyperlink ref="F1372" r:id="rId2" display="https://files.afu.se/Downloads/Transcripts/0%20-%20Government/USA%20-%20NASA%20Kennedy/"/>
    <hyperlink ref="C1373" r:id="rId1373" display="https://youtu.be/396sRuzVrHQ"/>
    <hyperlink ref="F1373" r:id="rId2" display="https://files.afu.se/Downloads/Transcripts/0%20-%20Government/USA%20-%20NASA%20Kennedy/"/>
    <hyperlink ref="C1374" r:id="rId1374" display="https://youtu.be/HZYysEnvYO4"/>
    <hyperlink ref="F1374" r:id="rId2" display="https://files.afu.se/Downloads/Transcripts/0%20-%20Government/USA%20-%20NASA%20Kennedy/"/>
    <hyperlink ref="C1375" r:id="rId1375" display="https://youtu.be/snfY5CZ3-Jw"/>
    <hyperlink ref="F1375" r:id="rId2" display="https://files.afu.se/Downloads/Transcripts/0%20-%20Government/USA%20-%20NASA%20Kennedy/"/>
    <hyperlink ref="C1376" r:id="rId1376" display="https://youtu.be/D_osz0XyRaY"/>
    <hyperlink ref="F1376" r:id="rId2" display="https://files.afu.se/Downloads/Transcripts/0%20-%20Government/USA%20-%20NASA%20Kennedy/"/>
    <hyperlink ref="C1377" r:id="rId1377" display="https://youtu.be/2mK5BLoYlBU"/>
    <hyperlink ref="F1377" r:id="rId2" display="https://files.afu.se/Downloads/Transcripts/0%20-%20Government/USA%20-%20NASA%20Kennedy/"/>
    <hyperlink ref="C1378" r:id="rId1378" display="https://youtu.be/NpYaF4tb8k4"/>
    <hyperlink ref="F1378" r:id="rId2" display="https://files.afu.se/Downloads/Transcripts/0%20-%20Government/USA%20-%20NASA%20Kennedy/"/>
    <hyperlink ref="C1379" r:id="rId1379" display="https://youtu.be/VvDyITqm3U4"/>
    <hyperlink ref="F1379" r:id="rId2" display="https://files.afu.se/Downloads/Transcripts/0%20-%20Government/USA%20-%20NASA%20Kennedy/"/>
    <hyperlink ref="C1380" r:id="rId1380" display="https://youtu.be/tQa_Wzu9GH4"/>
    <hyperlink ref="F1380" r:id="rId2" display="https://files.afu.se/Downloads/Transcripts/0%20-%20Government/USA%20-%20NASA%20Kennedy/"/>
    <hyperlink ref="C1381" r:id="rId1381" display="https://youtu.be/fVnSGLoqbOM"/>
    <hyperlink ref="F1381" r:id="rId2" display="https://files.afu.se/Downloads/Transcripts/0%20-%20Government/USA%20-%20NASA%20Kennedy/"/>
    <hyperlink ref="C1382" r:id="rId1382" display="https://youtu.be/isUrYV8tHok"/>
    <hyperlink ref="F1382" r:id="rId2" display="https://files.afu.se/Downloads/Transcripts/0%20-%20Government/USA%20-%20NASA%20Kennedy/"/>
    <hyperlink ref="C1383" r:id="rId1383" display="https://youtu.be/K1TfaVRkSAw"/>
    <hyperlink ref="F1383" r:id="rId2" display="https://files.afu.se/Downloads/Transcripts/0%20-%20Government/USA%20-%20NASA%20Kennedy/"/>
    <hyperlink ref="C1384" r:id="rId1384" display="https://youtu.be/iGdH9btHvZw"/>
    <hyperlink ref="F1384" r:id="rId2" display="https://files.afu.se/Downloads/Transcripts/0%20-%20Government/USA%20-%20NASA%20Kennedy/"/>
    <hyperlink ref="C1385" r:id="rId1385" display="https://youtu.be/sYHh8C8Kcrk"/>
    <hyperlink ref="F1385" r:id="rId2" display="https://files.afu.se/Downloads/Transcripts/0%20-%20Government/USA%20-%20NASA%20Kennedy/"/>
    <hyperlink ref="C1386" r:id="rId1386" display="https://youtu.be/knRseQgkUTs"/>
    <hyperlink ref="F1386" r:id="rId2" display="https://files.afu.se/Downloads/Transcripts/0%20-%20Government/USA%20-%20NASA%20Kennedy/"/>
    <hyperlink ref="C1387" r:id="rId1387" display="https://youtu.be/GP1feycsEh8"/>
    <hyperlink ref="F1387" r:id="rId2" display="https://files.afu.se/Downloads/Transcripts/0%20-%20Government/USA%20-%20NASA%20Kennedy/"/>
    <hyperlink ref="C1388" r:id="rId1388" display="https://youtu.be/x8gYFVQ054k"/>
    <hyperlink ref="F1388" r:id="rId2" display="https://files.afu.se/Downloads/Transcripts/0%20-%20Government/USA%20-%20NASA%20Kennedy/"/>
    <hyperlink ref="C1389" r:id="rId1389" display="https://youtu.be/WY00J_PgeYc"/>
    <hyperlink ref="F1389" r:id="rId2" display="https://files.afu.se/Downloads/Transcripts/0%20-%20Government/USA%20-%20NASA%20Kennedy/"/>
    <hyperlink ref="C1390" r:id="rId1390" display="https://youtu.be/m9xVJ8jaimU"/>
    <hyperlink ref="F1390" r:id="rId2" display="https://files.afu.se/Downloads/Transcripts/0%20-%20Government/USA%20-%20NASA%20Kennedy/"/>
    <hyperlink ref="C1391" r:id="rId1391" display="https://youtu.be/xkVE6pOgEfk"/>
    <hyperlink ref="F1391" r:id="rId2" display="https://files.afu.se/Downloads/Transcripts/0%20-%20Government/USA%20-%20NASA%20Kennedy/"/>
    <hyperlink ref="C1392" r:id="rId1392" display="https://youtu.be/8ZcA3FfqTkU"/>
    <hyperlink ref="F1392" r:id="rId2" display="https://files.afu.se/Downloads/Transcripts/0%20-%20Government/USA%20-%20NASA%20Kennedy/"/>
    <hyperlink ref="C1393" r:id="rId1393" display="https://youtu.be/LE3Lc2i3BLw"/>
    <hyperlink ref="F1393" r:id="rId2" display="https://files.afu.se/Downloads/Transcripts/0%20-%20Government/USA%20-%20NASA%20Kennedy/"/>
    <hyperlink ref="C1394" r:id="rId1394" display="https://youtu.be/g-M2aHfNGDM"/>
    <hyperlink ref="F1394" r:id="rId2" display="https://files.afu.se/Downloads/Transcripts/0%20-%20Government/USA%20-%20NASA%20Kennedy/"/>
    <hyperlink ref="C1395" r:id="rId1395" display="https://youtu.be/JoTBB9gmUkw"/>
    <hyperlink ref="F1395" r:id="rId2" display="https://files.afu.se/Downloads/Transcripts/0%20-%20Government/USA%20-%20NASA%20Kennedy/"/>
    <hyperlink ref="C1396" r:id="rId1396" display="https://youtu.be/oBUa4UX84mc"/>
    <hyperlink ref="F1396" r:id="rId2" display="https://files.afu.se/Downloads/Transcripts/0%20-%20Government/USA%20-%20NASA%20Kennedy/"/>
    <hyperlink ref="C1397" r:id="rId1397" display="https://youtu.be/N62vMwuSinU"/>
    <hyperlink ref="F1397" r:id="rId2" display="https://files.afu.se/Downloads/Transcripts/0%20-%20Government/USA%20-%20NASA%20Kennedy/"/>
    <hyperlink ref="C1398" r:id="rId1398" display="https://youtu.be/g4bWm8_JITI"/>
    <hyperlink ref="F1398" r:id="rId2" display="https://files.afu.se/Downloads/Transcripts/0%20-%20Government/USA%20-%20NASA%20Kennedy/"/>
    <hyperlink ref="C1399" r:id="rId1399" display="https://youtu.be/CryYbmcxkjg"/>
    <hyperlink ref="F1399" r:id="rId2" display="https://files.afu.se/Downloads/Transcripts/0%20-%20Government/USA%20-%20NASA%20Kennedy/"/>
    <hyperlink ref="C1400" r:id="rId1400" display="https://youtu.be/vf_8x5kG4EU"/>
    <hyperlink ref="F1400" r:id="rId2" display="https://files.afu.se/Downloads/Transcripts/0%20-%20Government/USA%20-%20NASA%20Kennedy/"/>
    <hyperlink ref="C1401" r:id="rId1401" display="https://youtu.be/YoWWfYzAC60"/>
    <hyperlink ref="F1401" r:id="rId2" display="https://files.afu.se/Downloads/Transcripts/0%20-%20Government/USA%20-%20NASA%20Kennedy/"/>
    <hyperlink ref="C1402" r:id="rId1402" display="https://youtu.be/x04QbxB7CZM"/>
    <hyperlink ref="F1402" r:id="rId2" display="https://files.afu.se/Downloads/Transcripts/0%20-%20Government/USA%20-%20NASA%20Kennedy/"/>
    <hyperlink ref="C1403" r:id="rId1403" display="https://youtu.be/Z9hKDFxA9UA"/>
    <hyperlink ref="F1403" r:id="rId2" display="https://files.afu.se/Downloads/Transcripts/0%20-%20Government/USA%20-%20NASA%20Kennedy/"/>
    <hyperlink ref="C1404" r:id="rId1404" display="https://youtu.be/X47raRdRSBA"/>
    <hyperlink ref="F1404" r:id="rId2" display="https://files.afu.se/Downloads/Transcripts/0%20-%20Government/USA%20-%20NASA%20Kennedy/"/>
    <hyperlink ref="C1405" r:id="rId1405" display="https://youtu.be/vNvhSfmCAtQ"/>
    <hyperlink ref="F1405" r:id="rId2" display="https://files.afu.se/Downloads/Transcripts/0%20-%20Government/USA%20-%20NASA%20Kennedy/"/>
    <hyperlink ref="C1406" r:id="rId1406" display="https://youtu.be/Y4rGWp25CL8"/>
    <hyperlink ref="F1406" r:id="rId2" display="https://files.afu.se/Downloads/Transcripts/0%20-%20Government/USA%20-%20NASA%20Kennedy/"/>
    <hyperlink ref="C1407" r:id="rId1407" display="https://youtu.be/xQ5-DqcrAyQ"/>
    <hyperlink ref="F1407" r:id="rId2" display="https://files.afu.se/Downloads/Transcripts/0%20-%20Government/USA%20-%20NASA%20Kennedy/"/>
    <hyperlink ref="C1408" r:id="rId1408" display="https://youtu.be/a4CQ2jssTyY"/>
    <hyperlink ref="F1408" r:id="rId2" display="https://files.afu.se/Downloads/Transcripts/0%20-%20Government/USA%20-%20NASA%20Kennedy/"/>
    <hyperlink ref="C1409" r:id="rId1409" display="https://youtu.be/-mANx1VcJbo"/>
    <hyperlink ref="F1409" r:id="rId2" display="https://files.afu.se/Downloads/Transcripts/0%20-%20Government/USA%20-%20NASA%20Kennedy/"/>
    <hyperlink ref="C1410" r:id="rId1410" display="https://youtu.be/W5w_eo52Wmg"/>
    <hyperlink ref="F1410" r:id="rId2" display="https://files.afu.se/Downloads/Transcripts/0%20-%20Government/USA%20-%20NASA%20Kennedy/"/>
    <hyperlink ref="C1411" r:id="rId1411" display="https://youtu.be/X6scZokG9zU"/>
    <hyperlink ref="F1411" r:id="rId2" display="https://files.afu.se/Downloads/Transcripts/0%20-%20Government/USA%20-%20NASA%20Kennedy/"/>
    <hyperlink ref="C1412" r:id="rId1412" display="https://youtu.be/z0IxYhdPXwI"/>
    <hyperlink ref="F1412" r:id="rId2" display="https://files.afu.se/Downloads/Transcripts/0%20-%20Government/USA%20-%20NASA%20Kennedy/"/>
    <hyperlink ref="C1413" r:id="rId1413" display="https://youtu.be/EH3h1_hL1j8"/>
    <hyperlink ref="F1413" r:id="rId2" display="https://files.afu.se/Downloads/Transcripts/0%20-%20Government/USA%20-%20NASA%20Kennedy/"/>
    <hyperlink ref="C1414" r:id="rId1414" display="https://youtu.be/6n4gcpClC8I"/>
    <hyperlink ref="F1414" r:id="rId2" display="https://files.afu.se/Downloads/Transcripts/0%20-%20Government/USA%20-%20NASA%20Kennedy/"/>
    <hyperlink ref="C1415" r:id="rId1415" display="https://youtu.be/sXFgdvsGq0g"/>
    <hyperlink ref="F1415" r:id="rId2" display="https://files.afu.se/Downloads/Transcripts/0%20-%20Government/USA%20-%20NASA%20Kennedy/"/>
    <hyperlink ref="C1416" r:id="rId1416" display="https://youtu.be/F-ougZG5u5U"/>
    <hyperlink ref="F1416" r:id="rId2" display="https://files.afu.se/Downloads/Transcripts/0%20-%20Government/USA%20-%20NASA%20Kennedy/"/>
    <hyperlink ref="C1417" r:id="rId1417" display="https://youtu.be/wgRPdK_hTis"/>
    <hyperlink ref="F1417" r:id="rId2" display="https://files.afu.se/Downloads/Transcripts/0%20-%20Government/USA%20-%20NASA%20Kennedy/"/>
    <hyperlink ref="C1418" r:id="rId1418" display="https://youtu.be/RdFkrbE6990"/>
    <hyperlink ref="F1418" r:id="rId2" display="https://files.afu.se/Downloads/Transcripts/0%20-%20Government/USA%20-%20NASA%20Kennedy/"/>
    <hyperlink ref="C1419" r:id="rId1419" display="https://youtu.be/doGcMijgWx4"/>
    <hyperlink ref="F1419" r:id="rId2" display="https://files.afu.se/Downloads/Transcripts/0%20-%20Government/USA%20-%20NASA%20Kennedy/"/>
    <hyperlink ref="C1420" r:id="rId1420" display="https://youtu.be/6qMPLydUbuM"/>
    <hyperlink ref="F1420" r:id="rId2" display="https://files.afu.se/Downloads/Transcripts/0%20-%20Government/USA%20-%20NASA%20Kennedy/"/>
    <hyperlink ref="C1421" r:id="rId1421" display="https://youtu.be/_6SH1xqmEfM"/>
    <hyperlink ref="F1421" r:id="rId2" display="https://files.afu.se/Downloads/Transcripts/0%20-%20Government/USA%20-%20NASA%20Kennedy/"/>
    <hyperlink ref="C1422" r:id="rId1422" display="https://youtu.be/pFDpwGcQ96o"/>
    <hyperlink ref="F1422" r:id="rId2" display="https://files.afu.se/Downloads/Transcripts/0%20-%20Government/USA%20-%20NASA%20Kennedy/"/>
    <hyperlink ref="C1423" r:id="rId1423" display="https://youtu.be/gZZV4yZCcEQ"/>
    <hyperlink ref="F1423" r:id="rId2" display="https://files.afu.se/Downloads/Transcripts/0%20-%20Government/USA%20-%20NASA%20Kennedy/"/>
    <hyperlink ref="C1424" r:id="rId1424" display="https://youtu.be/YLNWttnnCl0"/>
    <hyperlink ref="F1424" r:id="rId2" display="https://files.afu.se/Downloads/Transcripts/0%20-%20Government/USA%20-%20NASA%20Kennedy/"/>
    <hyperlink ref="C1425" r:id="rId1425" display="https://youtu.be/tr-yTbWuhWE"/>
    <hyperlink ref="F1425" r:id="rId2" display="https://files.afu.se/Downloads/Transcripts/0%20-%20Government/USA%20-%20NASA%20Kennedy/"/>
    <hyperlink ref="C1426" r:id="rId1426" display="https://youtu.be/cWR_MHkuBMU"/>
    <hyperlink ref="F1426" r:id="rId2" display="https://files.afu.se/Downloads/Transcripts/0%20-%20Government/USA%20-%20NASA%20Kennedy/"/>
    <hyperlink ref="C1427" r:id="rId1427" display="https://youtu.be/BCaDkI8A0RM"/>
    <hyperlink ref="F1427" r:id="rId2" display="https://files.afu.se/Downloads/Transcripts/0%20-%20Government/USA%20-%20NASA%20Kennedy/"/>
    <hyperlink ref="C1428" r:id="rId1428" display="https://youtu.be/_VQ32fjAQts"/>
    <hyperlink ref="F1428" r:id="rId2" display="https://files.afu.se/Downloads/Transcripts/0%20-%20Government/USA%20-%20NASA%20Kennedy/"/>
    <hyperlink ref="C1429" r:id="rId1429" display="https://youtu.be/O3t8X0g2iTA"/>
    <hyperlink ref="F1429" r:id="rId2" display="https://files.afu.se/Downloads/Transcripts/0%20-%20Government/USA%20-%20NASA%20Kennedy/"/>
    <hyperlink ref="C1430" r:id="rId1430" display="https://youtu.be/Ui-ehJlGM1Q"/>
    <hyperlink ref="F1430" r:id="rId2" display="https://files.afu.se/Downloads/Transcripts/0%20-%20Government/USA%20-%20NASA%20Kennedy/"/>
    <hyperlink ref="C1431" r:id="rId1431" display="https://youtu.be/f3fMJmoX-2Y"/>
    <hyperlink ref="F1431" r:id="rId2" display="https://files.afu.se/Downloads/Transcripts/0%20-%20Government/USA%20-%20NASA%20Kennedy/"/>
    <hyperlink ref="C1432" r:id="rId1432" display="https://youtu.be/5nD8F5dx6nc"/>
    <hyperlink ref="F1432" r:id="rId2" display="https://files.afu.se/Downloads/Transcripts/0%20-%20Government/USA%20-%20NASA%20Kennedy/"/>
    <hyperlink ref="C1433" r:id="rId1433" display="https://youtu.be/iFnGDI1YgpE"/>
    <hyperlink ref="F1433" r:id="rId2" display="https://files.afu.se/Downloads/Transcripts/0%20-%20Government/USA%20-%20NASA%20Kennedy/"/>
    <hyperlink ref="C1434" r:id="rId1434" display="https://youtu.be/zpj5Ufw2Cvs"/>
    <hyperlink ref="F1434" r:id="rId2" display="https://files.afu.se/Downloads/Transcripts/0%20-%20Government/USA%20-%20NASA%20Kennedy/"/>
    <hyperlink ref="C1435" r:id="rId1435" display="https://youtu.be/Ycs7ZiznzEk"/>
    <hyperlink ref="F1435" r:id="rId2" display="https://files.afu.se/Downloads/Transcripts/0%20-%20Government/USA%20-%20NASA%20Kennedy/"/>
    <hyperlink ref="C1436" r:id="rId1436" display="https://youtu.be/Op-fCpNGWt4"/>
    <hyperlink ref="F1436" r:id="rId2" display="https://files.afu.se/Downloads/Transcripts/0%20-%20Government/USA%20-%20NASA%20Kennedy/"/>
    <hyperlink ref="C1437" r:id="rId1437" display="https://youtu.be/81U6k5pHG84"/>
    <hyperlink ref="F1437" r:id="rId2" display="https://files.afu.se/Downloads/Transcripts/0%20-%20Government/USA%20-%20NASA%20Kennedy/"/>
    <hyperlink ref="C1438" r:id="rId1438" display="https://youtu.be/jUHaPzKMxHg"/>
    <hyperlink ref="F1438" r:id="rId2" display="https://files.afu.se/Downloads/Transcripts/0%20-%20Government/USA%20-%20NASA%20Kennedy/"/>
    <hyperlink ref="C1439" r:id="rId1439" display="https://youtu.be/_ZmQ5jv_VDU"/>
    <hyperlink ref="F1439" r:id="rId2" display="https://files.afu.se/Downloads/Transcripts/0%20-%20Government/USA%20-%20NASA%20Kennedy/"/>
    <hyperlink ref="C1440" r:id="rId1440" display="https://youtu.be/4-1Oo8OfqHg"/>
    <hyperlink ref="F1440" r:id="rId2" display="https://files.afu.se/Downloads/Transcripts/0%20-%20Government/USA%20-%20NASA%20Kennedy/"/>
    <hyperlink ref="C1441" r:id="rId1441" display="https://youtu.be/4Zjceqkrtjo"/>
    <hyperlink ref="F1441" r:id="rId2" display="https://files.afu.se/Downloads/Transcripts/0%20-%20Government/USA%20-%20NASA%20Kennedy/"/>
    <hyperlink ref="C1442" r:id="rId1442" display="https://youtu.be/NpmqK24SCvI"/>
    <hyperlink ref="F1442" r:id="rId2" display="https://files.afu.se/Downloads/Transcripts/0%20-%20Government/USA%20-%20NASA%20Kennedy/"/>
    <hyperlink ref="C1443" r:id="rId1443" display="https://youtu.be/1xfmxhFLaGM"/>
    <hyperlink ref="F1443" r:id="rId2" display="https://files.afu.se/Downloads/Transcripts/0%20-%20Government/USA%20-%20NASA%20Kennedy/"/>
    <hyperlink ref="C1444" r:id="rId1444" display="https://youtu.be/RxFwUG9PiYM"/>
    <hyperlink ref="F1444" r:id="rId2" display="https://files.afu.se/Downloads/Transcripts/0%20-%20Government/USA%20-%20NASA%20Kennedy/"/>
    <hyperlink ref="C1445" r:id="rId1445" display="https://youtu.be/MlTmMwvToRc"/>
    <hyperlink ref="F1445" r:id="rId2" display="https://files.afu.se/Downloads/Transcripts/0%20-%20Government/USA%20-%20NASA%20Kennedy/"/>
    <hyperlink ref="C1446" r:id="rId1446" display="https://youtu.be/45UAX5U892Q"/>
    <hyperlink ref="F1446" r:id="rId2" display="https://files.afu.se/Downloads/Transcripts/0%20-%20Government/USA%20-%20NASA%20Kennedy/"/>
    <hyperlink ref="C1447" r:id="rId1447" display="https://youtu.be/ZOdejadSgaw"/>
    <hyperlink ref="F1447" r:id="rId2" display="https://files.afu.se/Downloads/Transcripts/0%20-%20Government/USA%20-%20NASA%20Kennedy/"/>
    <hyperlink ref="C1448" r:id="rId1448" display="https://youtu.be/lR5zQtDhj9M"/>
    <hyperlink ref="F1448" r:id="rId2" display="https://files.afu.se/Downloads/Transcripts/0%20-%20Government/USA%20-%20NASA%20Kennedy/"/>
    <hyperlink ref="C1449" r:id="rId1449" display="https://youtu.be/RGG5wxM6QfY"/>
    <hyperlink ref="F1449" r:id="rId2" display="https://files.afu.se/Downloads/Transcripts/0%20-%20Government/USA%20-%20NASA%20Kennedy/"/>
    <hyperlink ref="C1450" r:id="rId1450" display="https://youtu.be/iC7f20bCSHA"/>
    <hyperlink ref="F1450" r:id="rId2" display="https://files.afu.se/Downloads/Transcripts/0%20-%20Government/USA%20-%20NASA%20Kennedy/"/>
    <hyperlink ref="C1451" r:id="rId1451" display="https://youtu.be/ul7aDObjDlw"/>
    <hyperlink ref="F1451" r:id="rId2" display="https://files.afu.se/Downloads/Transcripts/0%20-%20Government/USA%20-%20NASA%20Kennedy/"/>
    <hyperlink ref="C1452" r:id="rId1452" display="https://youtu.be/K0kMxTpRo_Y"/>
    <hyperlink ref="F1452" r:id="rId2" display="https://files.afu.se/Downloads/Transcripts/0%20-%20Government/USA%20-%20NASA%20Kennedy/"/>
    <hyperlink ref="C1453" r:id="rId1453" display="https://youtu.be/oya-oPxxCqA"/>
    <hyperlink ref="F1453" r:id="rId2" display="https://files.afu.se/Downloads/Transcripts/0%20-%20Government/USA%20-%20NASA%20Kennedy/"/>
    <hyperlink ref="C1454" r:id="rId1454" display="https://youtu.be/2AEUesjTeNM"/>
    <hyperlink ref="F1454" r:id="rId2" display="https://files.afu.se/Downloads/Transcripts/0%20-%20Government/USA%20-%20NASA%20Kennedy/"/>
    <hyperlink ref="C1455" r:id="rId1455" display="https://youtu.be/o5P1HKAMiDQ"/>
    <hyperlink ref="F1455" r:id="rId2" display="https://files.afu.se/Downloads/Transcripts/0%20-%20Government/USA%20-%20NASA%20Kennedy/"/>
    <hyperlink ref="C1456" r:id="rId1456" display="https://youtu.be/xy_Hd95_-UA"/>
    <hyperlink ref="F1456" r:id="rId2" display="https://files.afu.se/Downloads/Transcripts/0%20-%20Government/USA%20-%20NASA%20Kennedy/"/>
    <hyperlink ref="C1457" r:id="rId1457" display="https://youtu.be/f_dfjy2B5bo"/>
    <hyperlink ref="F1457" r:id="rId2" display="https://files.afu.se/Downloads/Transcripts/0%20-%20Government/USA%20-%20NASA%20Kennedy/"/>
    <hyperlink ref="C1458" r:id="rId1458" display="https://youtu.be/6EW_DWB-Ea8"/>
    <hyperlink ref="F1458" r:id="rId2" display="https://files.afu.se/Downloads/Transcripts/0%20-%20Government/USA%20-%20NASA%20Kennedy/"/>
    <hyperlink ref="C1459" r:id="rId1459" display="https://youtu.be/h_sSc6hTjMk"/>
    <hyperlink ref="F1459" r:id="rId2" display="https://files.afu.se/Downloads/Transcripts/0%20-%20Government/USA%20-%20NASA%20Kennedy/"/>
    <hyperlink ref="C1460" r:id="rId1460" display="https://youtu.be/eUPeGKeb5Tc"/>
    <hyperlink ref="F1460" r:id="rId2" display="https://files.afu.se/Downloads/Transcripts/0%20-%20Government/USA%20-%20NASA%20Kennedy/"/>
    <hyperlink ref="C1461" r:id="rId1461" display="https://youtu.be/eO6E2AQzZQ0"/>
    <hyperlink ref="F1461" r:id="rId2" display="https://files.afu.se/Downloads/Transcripts/0%20-%20Government/USA%20-%20NASA%20Kennedy/"/>
    <hyperlink ref="C1462" r:id="rId1462" display="https://youtu.be/55J-oCZPFls"/>
    <hyperlink ref="F1462" r:id="rId2" display="https://files.afu.se/Downloads/Transcripts/0%20-%20Government/USA%20-%20NASA%20Kennedy/"/>
    <hyperlink ref="C1463" r:id="rId1463" display="https://youtu.be/lQ3Wwsdmvk0"/>
    <hyperlink ref="F1463" r:id="rId2" display="https://files.afu.se/Downloads/Transcripts/0%20-%20Government/USA%20-%20NASA%20Kennedy/"/>
    <hyperlink ref="C1464" r:id="rId1464" display="https://youtu.be/X_VwQDHKqLE"/>
    <hyperlink ref="F1464" r:id="rId2" display="https://files.afu.se/Downloads/Transcripts/0%20-%20Government/USA%20-%20NASA%20Kennedy/"/>
    <hyperlink ref="C1465" r:id="rId1465" display="https://youtu.be/ga8QzVb5qgM"/>
    <hyperlink ref="F1465" r:id="rId2" display="https://files.afu.se/Downloads/Transcripts/0%20-%20Government/USA%20-%20NASA%20Kennedy/"/>
    <hyperlink ref="C1466" r:id="rId1466" display="https://youtu.be/gRigtfgvrKY"/>
    <hyperlink ref="F1466" r:id="rId2" display="https://files.afu.se/Downloads/Transcripts/0%20-%20Government/USA%20-%20NASA%20Kennedy/"/>
    <hyperlink ref="C1467" r:id="rId1467" display="https://youtu.be/SG59_tNsFYU"/>
    <hyperlink ref="F1467" r:id="rId2" display="https://files.afu.se/Downloads/Transcripts/0%20-%20Government/USA%20-%20NASA%20Kennedy/"/>
    <hyperlink ref="C1468" r:id="rId1468" display="https://youtu.be/JasogFtey7U"/>
    <hyperlink ref="F1468" r:id="rId2" display="https://files.afu.se/Downloads/Transcripts/0%20-%20Government/USA%20-%20NASA%20Kennedy/"/>
    <hyperlink ref="C1469" r:id="rId1469" display="https://youtu.be/ZWdMQSQHksc"/>
    <hyperlink ref="F1469" r:id="rId2" display="https://files.afu.se/Downloads/Transcripts/0%20-%20Government/USA%20-%20NASA%20Kennedy/"/>
    <hyperlink ref="C1470" r:id="rId1470" display="https://youtu.be/qI5G2ku2v6Y"/>
    <hyperlink ref="F1470" r:id="rId2" display="https://files.afu.se/Downloads/Transcripts/0%20-%20Government/USA%20-%20NASA%20Kennedy/"/>
    <hyperlink ref="C1471" r:id="rId1471" display="https://youtu.be/DtlBoTaSQJM"/>
    <hyperlink ref="F1471" r:id="rId2" display="https://files.afu.se/Downloads/Transcripts/0%20-%20Government/USA%20-%20NASA%20Kennedy/"/>
    <hyperlink ref="C1472" r:id="rId1472" display="https://youtu.be/2oQ4cnmhS9w"/>
    <hyperlink ref="F1472" r:id="rId2" display="https://files.afu.se/Downloads/Transcripts/0%20-%20Government/USA%20-%20NASA%20Kennedy/"/>
    <hyperlink ref="C1473" r:id="rId1473" display="https://youtu.be/e3WtfL6kZ_c"/>
    <hyperlink ref="F1473" r:id="rId2" display="https://files.afu.se/Downloads/Transcripts/0%20-%20Government/USA%20-%20NASA%20Kennedy/"/>
    <hyperlink ref="C1474" r:id="rId1474" display="https://youtu.be/XAOr9qy2rpE"/>
    <hyperlink ref="F1474" r:id="rId2" display="https://files.afu.se/Downloads/Transcripts/0%20-%20Government/USA%20-%20NASA%20Kennedy/"/>
    <hyperlink ref="C1475" r:id="rId1475" display="https://youtu.be/4gO-ea80S_Y"/>
    <hyperlink ref="F1475" r:id="rId2" display="https://files.afu.se/Downloads/Transcripts/0%20-%20Government/USA%20-%20NASA%20Kennedy/"/>
    <hyperlink ref="C1476" r:id="rId1476" display="https://youtu.be/_AmM8LTK63Q"/>
    <hyperlink ref="F1476" r:id="rId2" display="https://files.afu.se/Downloads/Transcripts/0%20-%20Government/USA%20-%20NASA%20Kennedy/"/>
    <hyperlink ref="C1477" r:id="rId1477" display="https://youtu.be/jsLwkhIlDY4"/>
    <hyperlink ref="F1477" r:id="rId2" display="https://files.afu.se/Downloads/Transcripts/0%20-%20Government/USA%20-%20NASA%20Kennedy/"/>
    <hyperlink ref="C1478" r:id="rId1478" display="https://youtu.be/x3n4ruAVw1U"/>
    <hyperlink ref="F1478" r:id="rId2" display="https://files.afu.se/Downloads/Transcripts/0%20-%20Government/USA%20-%20NASA%20Kennedy/"/>
    <hyperlink ref="C1479" r:id="rId1479" display="https://youtu.be/Npo7kkIkqXg"/>
    <hyperlink ref="F1479" r:id="rId2" display="https://files.afu.se/Downloads/Transcripts/0%20-%20Government/USA%20-%20NASA%20Kennedy/"/>
    <hyperlink ref="C1480" r:id="rId1480" display="https://youtu.be/hHZfNJlzipg"/>
    <hyperlink ref="F1480" r:id="rId2" display="https://files.afu.se/Downloads/Transcripts/0%20-%20Government/USA%20-%20NASA%20Kennedy/"/>
    <hyperlink ref="C1481" r:id="rId1481" display="https://youtu.be/kG2TYs1WeNQ"/>
    <hyperlink ref="F1481" r:id="rId2" display="https://files.afu.se/Downloads/Transcripts/0%20-%20Government/USA%20-%20NASA%20Kennedy/"/>
    <hyperlink ref="C1482" r:id="rId1482" display="https://youtu.be/9eh4dTNOjQg"/>
    <hyperlink ref="F1482" r:id="rId2" display="https://files.afu.se/Downloads/Transcripts/0%20-%20Government/USA%20-%20NASA%20Kennedy/"/>
    <hyperlink ref="C1483" r:id="rId1483" display="https://youtu.be/MGXYnmmrwKs"/>
    <hyperlink ref="F1483" r:id="rId2" display="https://files.afu.se/Downloads/Transcripts/0%20-%20Government/USA%20-%20NASA%20Kennedy/"/>
    <hyperlink ref="C1484" r:id="rId1484" display="https://youtu.be/eu5V2ltWMsA"/>
    <hyperlink ref="F1484" r:id="rId2" display="https://files.afu.se/Downloads/Transcripts/0%20-%20Government/USA%20-%20NASA%20Kennedy/"/>
    <hyperlink ref="C1485" r:id="rId1485" display="https://youtu.be/SmF4TLFJACs"/>
    <hyperlink ref="F1485" r:id="rId2" display="https://files.afu.se/Downloads/Transcripts/0%20-%20Government/USA%20-%20NASA%20Kennedy/"/>
    <hyperlink ref="C1486" r:id="rId1486" display="https://youtu.be/dKJ0tPJSN6c"/>
    <hyperlink ref="F1486" r:id="rId2" display="https://files.afu.se/Downloads/Transcripts/0%20-%20Government/USA%20-%20NASA%20Kennedy/"/>
    <hyperlink ref="C1487" r:id="rId1487" display="https://youtu.be/vy0w15iY3nA"/>
    <hyperlink ref="F1487" r:id="rId2" display="https://files.afu.se/Downloads/Transcripts/0%20-%20Government/USA%20-%20NASA%20Kennedy/"/>
    <hyperlink ref="C1488" r:id="rId1488" display="https://youtu.be/zuBoToo3t_U"/>
    <hyperlink ref="F1488" r:id="rId2" display="https://files.afu.se/Downloads/Transcripts/0%20-%20Government/USA%20-%20NASA%20Kennedy/"/>
    <hyperlink ref="C1489" r:id="rId1489" display="https://youtu.be/5QH8O-D0ZVM"/>
    <hyperlink ref="F1489" r:id="rId2" display="https://files.afu.se/Downloads/Transcripts/0%20-%20Government/USA%20-%20NASA%20Kennedy/"/>
    <hyperlink ref="C1490" r:id="rId1490" display="https://youtu.be/PHElawLRSHk"/>
    <hyperlink ref="F1490" r:id="rId2" display="https://files.afu.se/Downloads/Transcripts/0%20-%20Government/USA%20-%20NASA%20Kennedy/"/>
    <hyperlink ref="C1491" r:id="rId1491" display="https://youtu.be/j70cDeDy9d4"/>
    <hyperlink ref="F1491" r:id="rId2" display="https://files.afu.se/Downloads/Transcripts/0%20-%20Government/USA%20-%20NASA%20Kennedy/"/>
    <hyperlink ref="C1492" r:id="rId1492" display="https://youtu.be/ehrekVROQ3Y"/>
    <hyperlink ref="F1492" r:id="rId2" display="https://files.afu.se/Downloads/Transcripts/0%20-%20Government/USA%20-%20NASA%20Kennedy/"/>
    <hyperlink ref="C1493" r:id="rId1493" display="https://youtu.be/k1A2XpIc2No"/>
    <hyperlink ref="F1493" r:id="rId2" display="https://files.afu.se/Downloads/Transcripts/0%20-%20Government/USA%20-%20NASA%20Kennedy/"/>
    <hyperlink ref="C1494" r:id="rId1494" display="https://youtu.be/QlvNbRfuGxk"/>
    <hyperlink ref="F1494" r:id="rId2" display="https://files.afu.se/Downloads/Transcripts/0%20-%20Government/USA%20-%20NASA%20Kennedy/"/>
    <hyperlink ref="C1495" r:id="rId1495" display="https://youtu.be/0qgGRhlJ2UY"/>
    <hyperlink ref="F1495" r:id="rId2" display="https://files.afu.se/Downloads/Transcripts/0%20-%20Government/USA%20-%20NASA%20Kennedy/"/>
    <hyperlink ref="C1496" r:id="rId1496" display="https://youtu.be/jzw92KSlpA0"/>
    <hyperlink ref="F1496" r:id="rId2" display="https://files.afu.se/Downloads/Transcripts/0%20-%20Government/USA%20-%20NASA%20Kennedy/"/>
    <hyperlink ref="C1497" r:id="rId1497" display="https://youtu.be/cOfU4xFk-6k"/>
    <hyperlink ref="F1497" r:id="rId2" display="https://files.afu.se/Downloads/Transcripts/0%20-%20Government/USA%20-%20NASA%20Kennedy/"/>
    <hyperlink ref="C1498" r:id="rId1498" display="https://youtu.be/mwpgm-RgLaM"/>
    <hyperlink ref="F1498" r:id="rId2" display="https://files.afu.se/Downloads/Transcripts/0%20-%20Government/USA%20-%20NASA%20Kennedy/"/>
    <hyperlink ref="C1499" r:id="rId1499" display="https://youtu.be/k7ir25YuZHA"/>
    <hyperlink ref="F1499" r:id="rId2" display="https://files.afu.se/Downloads/Transcripts/0%20-%20Government/USA%20-%20NASA%20Kennedy/"/>
    <hyperlink ref="C1500" r:id="rId1500" display="https://youtu.be/M3s6eJ1ocbI"/>
    <hyperlink ref="F1500" r:id="rId2" display="https://files.afu.se/Downloads/Transcripts/0%20-%20Government/USA%20-%20NASA%20Kennedy/"/>
    <hyperlink ref="C1501" r:id="rId1501" display="https://youtu.be/EOpZNPvj-PA"/>
    <hyperlink ref="F1501" r:id="rId2" display="https://files.afu.se/Downloads/Transcripts/0%20-%20Government/USA%20-%20NASA%20Kennedy/"/>
    <hyperlink ref="C1502" r:id="rId1502" display="https://youtu.be/3xV2icSF2T8"/>
    <hyperlink ref="F1502" r:id="rId2" display="https://files.afu.se/Downloads/Transcripts/0%20-%20Government/USA%20-%20NASA%20Kennedy/"/>
    <hyperlink ref="C1503" r:id="rId1503" display="https://youtu.be/llgl_rhe4vg"/>
    <hyperlink ref="F1503" r:id="rId2" display="https://files.afu.se/Downloads/Transcripts/0%20-%20Government/USA%20-%20NASA%20Kennedy/"/>
    <hyperlink ref="C1504" r:id="rId1504" display="https://youtu.be/szvEdc3Vnpw"/>
    <hyperlink ref="F1504" r:id="rId2" display="https://files.afu.se/Downloads/Transcripts/0%20-%20Government/USA%20-%20NASA%20Kennedy/"/>
    <hyperlink ref="C1505" r:id="rId1505" display="https://youtu.be/UihABM410w8"/>
    <hyperlink ref="F1505" r:id="rId2" display="https://files.afu.se/Downloads/Transcripts/0%20-%20Government/USA%20-%20NASA%20Kennedy/"/>
    <hyperlink ref="C1506" r:id="rId1506" display="https://youtu.be/fjwcssuUb5Y"/>
    <hyperlink ref="F1506" r:id="rId2" display="https://files.afu.se/Downloads/Transcripts/0%20-%20Government/USA%20-%20NASA%20Kennedy/"/>
    <hyperlink ref="C1507" r:id="rId1507" display="https://youtu.be/9fiUYbitL88"/>
    <hyperlink ref="F1507" r:id="rId2" display="https://files.afu.se/Downloads/Transcripts/0%20-%20Government/USA%20-%20NASA%20Kennedy/"/>
    <hyperlink ref="C1508" r:id="rId1508" display="https://youtu.be/NhOkuMYy_wY"/>
    <hyperlink ref="F1508" r:id="rId2" display="https://files.afu.se/Downloads/Transcripts/0%20-%20Government/USA%20-%20NASA%20Kennedy/"/>
    <hyperlink ref="C1509" r:id="rId1509" display="https://youtu.be/I5v2dhGRu2w"/>
    <hyperlink ref="F1509" r:id="rId2" display="https://files.afu.se/Downloads/Transcripts/0%20-%20Government/USA%20-%20NASA%20Kennedy/"/>
    <hyperlink ref="C1510" r:id="rId1510" display="https://youtu.be/XX7-yFeyZH4"/>
    <hyperlink ref="F1510" r:id="rId2" display="https://files.afu.se/Downloads/Transcripts/0%20-%20Government/USA%20-%20NASA%20Kennedy/"/>
    <hyperlink ref="C1511" r:id="rId1511" display="https://youtu.be/stn1itXZd4Q"/>
    <hyperlink ref="F1511" r:id="rId2" display="https://files.afu.se/Downloads/Transcripts/0%20-%20Government/USA%20-%20NASA%20Kennedy/"/>
    <hyperlink ref="C1512" r:id="rId1512" display="https://youtu.be/l82qSyz_3lc"/>
    <hyperlink ref="F1512" r:id="rId2" display="https://files.afu.se/Downloads/Transcripts/0%20-%20Government/USA%20-%20NASA%20Kennedy/"/>
    <hyperlink ref="C1513" r:id="rId1513" display="https://youtu.be/4AhO0Aqa2rQ"/>
    <hyperlink ref="F1513" r:id="rId2" display="https://files.afu.se/Downloads/Transcripts/0%20-%20Government/USA%20-%20NASA%20Kennedy/"/>
    <hyperlink ref="C1514" r:id="rId1514" display="https://youtu.be/AS4d1FQmj-w"/>
    <hyperlink ref="F1514" r:id="rId2" display="https://files.afu.se/Downloads/Transcripts/0%20-%20Government/USA%20-%20NASA%20Kennedy/"/>
    <hyperlink ref="C1515" r:id="rId1515" display="https://youtu.be/yTFL881jaMo"/>
    <hyperlink ref="F1515" r:id="rId2" display="https://files.afu.se/Downloads/Transcripts/0%20-%20Government/USA%20-%20NASA%20Kennedy/"/>
    <hyperlink ref="C1516" r:id="rId1516" display="https://youtu.be/mRh4TmKEZUw"/>
    <hyperlink ref="F1516" r:id="rId2" display="https://files.afu.se/Downloads/Transcripts/0%20-%20Government/USA%20-%20NASA%20Kennedy/"/>
    <hyperlink ref="C1517" r:id="rId1517" display="https://youtu.be/KP-hjV4anUk"/>
    <hyperlink ref="F1517" r:id="rId2" display="https://files.afu.se/Downloads/Transcripts/0%20-%20Government/USA%20-%20NASA%20Kennedy/"/>
    <hyperlink ref="C1518" r:id="rId1518" display="https://youtu.be/N-2jpHjcNWk"/>
    <hyperlink ref="F1518" r:id="rId2" display="https://files.afu.se/Downloads/Transcripts/0%20-%20Government/USA%20-%20NASA%20Kennedy/"/>
    <hyperlink ref="C1519" r:id="rId1519" display="https://youtu.be/sKqp9m5YkIc"/>
    <hyperlink ref="F1519" r:id="rId2" display="https://files.afu.se/Downloads/Transcripts/0%20-%20Government/USA%20-%20NASA%20Kennedy/"/>
    <hyperlink ref="C1520" r:id="rId1520" display="https://youtu.be/A5NAPVGlmUY"/>
    <hyperlink ref="F1520" r:id="rId2" display="https://files.afu.se/Downloads/Transcripts/0%20-%20Government/USA%20-%20NASA%20Kennedy/"/>
    <hyperlink ref="C1521" r:id="rId1521" display="https://youtu.be/W7AsV2M1PoA"/>
    <hyperlink ref="F1521" r:id="rId2" display="https://files.afu.se/Downloads/Transcripts/0%20-%20Government/USA%20-%20NASA%20Kennedy/"/>
    <hyperlink ref="C1522" r:id="rId1522" display="https://youtu.be/sn8vqr3WCYo"/>
    <hyperlink ref="F1522" r:id="rId2" display="https://files.afu.se/Downloads/Transcripts/0%20-%20Government/USA%20-%20NASA%20Kennedy/"/>
    <hyperlink ref="C1523" r:id="rId1523" display="https://youtu.be/3zr_3CWLamo"/>
    <hyperlink ref="F1523" r:id="rId2" display="https://files.afu.se/Downloads/Transcripts/0%20-%20Government/USA%20-%20NASA%20Kennedy/"/>
    <hyperlink ref="C1524" r:id="rId1524" display="https://youtu.be/Ts7O1yZQwOM"/>
    <hyperlink ref="F1524" r:id="rId2" display="https://files.afu.se/Downloads/Transcripts/0%20-%20Government/USA%20-%20NASA%20Kennedy/"/>
    <hyperlink ref="C1525" r:id="rId1525" display="https://youtu.be/oYdkLm9f1QQ"/>
    <hyperlink ref="F1525" r:id="rId2" display="https://files.afu.se/Downloads/Transcripts/0%20-%20Government/USA%20-%20NASA%20Kennedy/"/>
    <hyperlink ref="C1526" r:id="rId1526" display="https://youtu.be/r15QlpFchbQ"/>
    <hyperlink ref="F1526" r:id="rId2" display="https://files.afu.se/Downloads/Transcripts/0%20-%20Government/USA%20-%20NASA%20Kennedy/"/>
    <hyperlink ref="C1527" r:id="rId1527" display="https://youtu.be/LuT0UHOvE50"/>
    <hyperlink ref="F1527" r:id="rId2" display="https://files.afu.se/Downloads/Transcripts/0%20-%20Government/USA%20-%20NASA%20Kennedy/"/>
    <hyperlink ref="C1528" r:id="rId1528" display="https://youtu.be/UnqGRsF0bWo"/>
    <hyperlink ref="F1528" r:id="rId2" display="https://files.afu.se/Downloads/Transcripts/0%20-%20Government/USA%20-%20NASA%20Kennedy/"/>
    <hyperlink ref="C1529" r:id="rId1529" display="https://youtu.be/nNo45yJyqxw"/>
    <hyperlink ref="F1529" r:id="rId2" display="https://files.afu.se/Downloads/Transcripts/0%20-%20Government/USA%20-%20NASA%20Kennedy/"/>
    <hyperlink ref="C1530" r:id="rId1530" display="https://youtu.be/St0vwbj9moY"/>
    <hyperlink ref="F1530" r:id="rId2" display="https://files.afu.se/Downloads/Transcripts/0%20-%20Government/USA%20-%20NASA%20Kennedy/"/>
    <hyperlink ref="C1531" r:id="rId1531" display="https://youtu.be/rUks2BROvWg"/>
    <hyperlink ref="F1531" r:id="rId2" display="https://files.afu.se/Downloads/Transcripts/0%20-%20Government/USA%20-%20NASA%20Kennedy/"/>
    <hyperlink ref="C1532" r:id="rId1532" display="https://youtu.be/k1eP5RBv8XI"/>
    <hyperlink ref="F1532" r:id="rId2" display="https://files.afu.se/Downloads/Transcripts/0%20-%20Government/USA%20-%20NASA%20Kennedy/"/>
    <hyperlink ref="C1533" r:id="rId1533" display="https://youtu.be/0jkErVV06wk"/>
    <hyperlink ref="F1533" r:id="rId2" display="https://files.afu.se/Downloads/Transcripts/0%20-%20Government/USA%20-%20NASA%20Kennedy/"/>
    <hyperlink ref="C1534" r:id="rId1534" display="https://youtu.be/qJ229mP4eIo"/>
    <hyperlink ref="F1534" r:id="rId2" display="https://files.afu.se/Downloads/Transcripts/0%20-%20Government/USA%20-%20NASA%20Kennedy/"/>
    <hyperlink ref="C1535" r:id="rId1535" display="https://youtu.be/RQGi2talj6E"/>
    <hyperlink ref="F1535" r:id="rId2" display="https://files.afu.se/Downloads/Transcripts/0%20-%20Government/USA%20-%20NASA%20Kennedy/"/>
    <hyperlink ref="C1536" r:id="rId1536" display="https://youtu.be/ysVeRSUHflM"/>
    <hyperlink ref="F1536" r:id="rId2" display="https://files.afu.se/Downloads/Transcripts/0%20-%20Government/USA%20-%20NASA%20Kennedy/"/>
    <hyperlink ref="C1537" r:id="rId1537" display="https://youtu.be/cgreS7wi2fg"/>
    <hyperlink ref="F1537" r:id="rId2" display="https://files.afu.se/Downloads/Transcripts/0%20-%20Government/USA%20-%20NASA%20Kennedy/"/>
    <hyperlink ref="C1538" r:id="rId1538" display="https://youtu.be/qUBzpzboYLI"/>
    <hyperlink ref="F1538" r:id="rId2" display="https://files.afu.se/Downloads/Transcripts/0%20-%20Government/USA%20-%20NASA%20Kennedy/"/>
    <hyperlink ref="C1539" r:id="rId1539" display="https://youtu.be/THOgjdP9I7Y"/>
    <hyperlink ref="F1539" r:id="rId2" display="https://files.afu.se/Downloads/Transcripts/0%20-%20Government/USA%20-%20NASA%20Kennedy/"/>
    <hyperlink ref="C1540" r:id="rId1540" display="https://youtu.be/gP-kirqjAwE"/>
    <hyperlink ref="F1540" r:id="rId2" display="https://files.afu.se/Downloads/Transcripts/0%20-%20Government/USA%20-%20NASA%20Kennedy/"/>
    <hyperlink ref="C1541" r:id="rId1541" display="https://youtu.be/7PgtHWHRrXE"/>
    <hyperlink ref="F1541" r:id="rId2" display="https://files.afu.se/Downloads/Transcripts/0%20-%20Government/USA%20-%20NASA%20Kennedy/"/>
    <hyperlink ref="C1542" r:id="rId1542" display="https://youtu.be/-uDljmYqy1U"/>
    <hyperlink ref="F1542" r:id="rId2" display="https://files.afu.se/Downloads/Transcripts/0%20-%20Government/USA%20-%20NASA%20Kennedy/"/>
    <hyperlink ref="C1543" r:id="rId1543" display="https://youtu.be/wNMsKKN4m9k"/>
    <hyperlink ref="F1543" r:id="rId2" display="https://files.afu.se/Downloads/Transcripts/0%20-%20Government/USA%20-%20NASA%20Kennedy/"/>
    <hyperlink ref="C1544" r:id="rId1544" display="https://youtu.be/JA9eH2Pryis"/>
    <hyperlink ref="F1544" r:id="rId2" display="https://files.afu.se/Downloads/Transcripts/0%20-%20Government/USA%20-%20NASA%20Kennedy/"/>
    <hyperlink ref="C1545" r:id="rId1545" display="https://youtu.be/Z8ILNPh3Rbo"/>
    <hyperlink ref="F1545" r:id="rId2" display="https://files.afu.se/Downloads/Transcripts/0%20-%20Government/USA%20-%20NASA%20Kennedy/"/>
    <hyperlink ref="C1546" r:id="rId1546" display="https://youtu.be/_-KS-mJX858"/>
    <hyperlink ref="F1546" r:id="rId2" display="https://files.afu.se/Downloads/Transcripts/0%20-%20Government/USA%20-%20NASA%20Kennedy/"/>
    <hyperlink ref="C1547" r:id="rId1547" display="https://youtu.be/9zf9pK5-3ew"/>
    <hyperlink ref="F1547" r:id="rId2" display="https://files.afu.se/Downloads/Transcripts/0%20-%20Government/USA%20-%20NASA%20Kennedy/"/>
    <hyperlink ref="C1548" r:id="rId1548" display="https://youtu.be/jqGUco8zzPs"/>
    <hyperlink ref="F1548" r:id="rId2" display="https://files.afu.se/Downloads/Transcripts/0%20-%20Government/USA%20-%20NASA%20Kennedy/"/>
    <hyperlink ref="C1549" r:id="rId1549" display="https://youtu.be/fnyCBRDcZjk"/>
    <hyperlink ref="F1549" r:id="rId2" display="https://files.afu.se/Downloads/Transcripts/0%20-%20Government/USA%20-%20NASA%20Kennedy/"/>
    <hyperlink ref="C1550" r:id="rId1550" display="https://youtu.be/pllw0lEK-bs"/>
    <hyperlink ref="F1550" r:id="rId2" display="https://files.afu.se/Downloads/Transcripts/0%20-%20Government/USA%20-%20NASA%20Kennedy/"/>
    <hyperlink ref="C1551" r:id="rId1551" display="https://youtu.be/kuIwF1Ex1pU"/>
    <hyperlink ref="F1551" r:id="rId2" display="https://files.afu.se/Downloads/Transcripts/0%20-%20Government/USA%20-%20NASA%20Kennedy/"/>
    <hyperlink ref="C1552" r:id="rId1552" display="https://youtu.be/X5xEKQWpU9M"/>
    <hyperlink ref="F1552" r:id="rId2" display="https://files.afu.se/Downloads/Transcripts/0%20-%20Government/USA%20-%20NASA%20Kennedy/"/>
    <hyperlink ref="C1553" r:id="rId1553" display="https://youtu.be/AsBZSZrzWDg"/>
    <hyperlink ref="F1553" r:id="rId2" display="https://files.afu.se/Downloads/Transcripts/0%20-%20Government/USA%20-%20NASA%20Kennedy/"/>
    <hyperlink ref="C1554" r:id="rId1554" display="https://youtu.be/HYcsCzjWe3Q"/>
    <hyperlink ref="F1554" r:id="rId2" display="https://files.afu.se/Downloads/Transcripts/0%20-%20Government/USA%20-%20NASA%20Kennedy/"/>
    <hyperlink ref="C1555" r:id="rId1555" display="https://youtu.be/ggX0jxxxocI"/>
    <hyperlink ref="F1555" r:id="rId2" display="https://files.afu.se/Downloads/Transcripts/0%20-%20Government/USA%20-%20NASA%20Kennedy/"/>
    <hyperlink ref="C1556" r:id="rId1556" display="https://youtu.be/p8xx6u7ddL0"/>
    <hyperlink ref="F1556" r:id="rId2" display="https://files.afu.se/Downloads/Transcripts/0%20-%20Government/USA%20-%20NASA%20Kennedy/"/>
    <hyperlink ref="C1557" r:id="rId1557" display="https://youtu.be/kom22OHv_3g"/>
    <hyperlink ref="F1557" r:id="rId2" display="https://files.afu.se/Downloads/Transcripts/0%20-%20Government/USA%20-%20NASA%20Kennedy/"/>
    <hyperlink ref="C1558" r:id="rId1558" display="https://youtu.be/7WouER2jb5o"/>
    <hyperlink ref="F1558" r:id="rId2" display="https://files.afu.se/Downloads/Transcripts/0%20-%20Government/USA%20-%20NASA%20Kennedy/"/>
    <hyperlink ref="C1559" r:id="rId1559" display="https://youtu.be/xeOaipcNFac"/>
    <hyperlink ref="F1559" r:id="rId2" display="https://files.afu.se/Downloads/Transcripts/0%20-%20Government/USA%20-%20NASA%20Kennedy/"/>
    <hyperlink ref="C1560" r:id="rId1560" display="https://youtu.be/K_x6OJ-yvs0"/>
    <hyperlink ref="F1560" r:id="rId2" display="https://files.afu.se/Downloads/Transcripts/0%20-%20Government/USA%20-%20NASA%20Kennedy/"/>
    <hyperlink ref="C1561" r:id="rId1561" display="https://youtu.be/MUn0mP7LwcI"/>
    <hyperlink ref="F1561" r:id="rId2" display="https://files.afu.se/Downloads/Transcripts/0%20-%20Government/USA%20-%20NASA%20Kennedy/"/>
    <hyperlink ref="C1562" r:id="rId1562" display="https://youtu.be/N9hQTF8gPVU"/>
    <hyperlink ref="F1562" r:id="rId2" display="https://files.afu.se/Downloads/Transcripts/0%20-%20Government/USA%20-%20NASA%20Kennedy/"/>
    <hyperlink ref="C1563" r:id="rId1563" display="https://youtu.be/4UHv5woS0mA"/>
    <hyperlink ref="F1563" r:id="rId2" display="https://files.afu.se/Downloads/Transcripts/0%20-%20Government/USA%20-%20NASA%20Kennedy/"/>
    <hyperlink ref="C1564" r:id="rId1564" display="https://youtu.be/KCIgnUO2AWw"/>
    <hyperlink ref="F1564" r:id="rId2" display="https://files.afu.se/Downloads/Transcripts/0%20-%20Government/USA%20-%20NASA%20Kennedy/"/>
    <hyperlink ref="C1565" r:id="rId1565" display="https://youtu.be/bL0ifDm8IZ4"/>
    <hyperlink ref="F1565" r:id="rId2" display="https://files.afu.se/Downloads/Transcripts/0%20-%20Government/USA%20-%20NASA%20Kennedy/"/>
    <hyperlink ref="C1566" r:id="rId1566" display="https://youtu.be/KhuDBeimgww"/>
    <hyperlink ref="F1566" r:id="rId2" display="https://files.afu.se/Downloads/Transcripts/0%20-%20Government/USA%20-%20NASA%20Kennedy/"/>
    <hyperlink ref="C1567" r:id="rId1567" display="https://youtu.be/BPi155hKktA"/>
    <hyperlink ref="F1567" r:id="rId2" display="https://files.afu.se/Downloads/Transcripts/0%20-%20Government/USA%20-%20NASA%20Kennedy/"/>
    <hyperlink ref="C1568" r:id="rId1568" display="https://youtu.be/VfrdZiXDHZM"/>
    <hyperlink ref="F1568" r:id="rId2" display="https://files.afu.se/Downloads/Transcripts/0%20-%20Government/USA%20-%20NASA%20Kennedy/"/>
    <hyperlink ref="C1569" r:id="rId1569" display="https://youtu.be/uuEwgQtPTwc"/>
    <hyperlink ref="F1569" r:id="rId2" display="https://files.afu.se/Downloads/Transcripts/0%20-%20Government/USA%20-%20NASA%20Kennedy/"/>
    <hyperlink ref="C1570" r:id="rId1570" display="https://youtu.be/gKcbbcDi_XQ"/>
    <hyperlink ref="F1570" r:id="rId2" display="https://files.afu.se/Downloads/Transcripts/0%20-%20Government/USA%20-%20NASA%20Kennedy/"/>
    <hyperlink ref="C1571" r:id="rId1571" display="https://youtu.be/yW-1RvmWVBA"/>
    <hyperlink ref="F1571" r:id="rId2" display="https://files.afu.se/Downloads/Transcripts/0%20-%20Government/USA%20-%20NASA%20Kennedy/"/>
    <hyperlink ref="C1572" r:id="rId1572" display="https://youtu.be/EacZgVKjDyw"/>
    <hyperlink ref="F1572" r:id="rId2" display="https://files.afu.se/Downloads/Transcripts/0%20-%20Government/USA%20-%20NASA%20Kennedy/"/>
    <hyperlink ref="C1573" r:id="rId1573" display="https://youtu.be/RVQeLGEf7Do"/>
    <hyperlink ref="F1573" r:id="rId2" display="https://files.afu.se/Downloads/Transcripts/0%20-%20Government/USA%20-%20NASA%20Kennedy/"/>
    <hyperlink ref="C1574" r:id="rId1574" display="https://youtu.be/RP497U1uGIw"/>
    <hyperlink ref="F1574" r:id="rId2" display="https://files.afu.se/Downloads/Transcripts/0%20-%20Government/USA%20-%20NASA%20Kennedy/"/>
    <hyperlink ref="C1575" r:id="rId1575" display="https://youtu.be/opBkWnBf1qs"/>
    <hyperlink ref="F1575" r:id="rId2" display="https://files.afu.se/Downloads/Transcripts/0%20-%20Government/USA%20-%20NASA%20Kennedy/"/>
    <hyperlink ref="C1576" r:id="rId1576" display="https://youtu.be/yoXGi6DuA6M"/>
    <hyperlink ref="F1576" r:id="rId2" display="https://files.afu.se/Downloads/Transcripts/0%20-%20Government/USA%20-%20NASA%20Kennedy/"/>
    <hyperlink ref="C1577" r:id="rId1577" display="https://youtu.be/gKldtj6UZKE"/>
    <hyperlink ref="F1577" r:id="rId2" display="https://files.afu.se/Downloads/Transcripts/0%20-%20Government/USA%20-%20NASA%20Kennedy/"/>
    <hyperlink ref="C1578" r:id="rId1578" display="https://youtu.be/z-eeswIoIQ0"/>
    <hyperlink ref="F1578" r:id="rId2" display="https://files.afu.se/Downloads/Transcripts/0%20-%20Government/USA%20-%20NASA%20Kennedy/"/>
    <hyperlink ref="C1579" r:id="rId1579" display="https://youtu.be/6YALaYYPRMc"/>
    <hyperlink ref="F1579" r:id="rId2" display="https://files.afu.se/Downloads/Transcripts/0%20-%20Government/USA%20-%20NASA%20Kennedy/"/>
    <hyperlink ref="C1580" r:id="rId1580" display="https://youtu.be/EWVutF2hH4I"/>
    <hyperlink ref="F1580" r:id="rId2" display="https://files.afu.se/Downloads/Transcripts/0%20-%20Government/USA%20-%20NASA%20Kennedy/"/>
    <hyperlink ref="C1581" r:id="rId1581" display="https://youtu.be/im9a9SOiq5k"/>
    <hyperlink ref="F1581" r:id="rId2" display="https://files.afu.se/Downloads/Transcripts/0%20-%20Government/USA%20-%20NASA%20Kennedy/"/>
    <hyperlink ref="C1582" r:id="rId1582" display="https://youtu.be/Su-0mfqHK3c"/>
    <hyperlink ref="F1582" r:id="rId2" display="https://files.afu.se/Downloads/Transcripts/0%20-%20Government/USA%20-%20NASA%20Kennedy/"/>
    <hyperlink ref="C1583" r:id="rId1583" display="https://youtu.be/nxhlfBLS8rg"/>
    <hyperlink ref="F1583" r:id="rId2" display="https://files.afu.se/Downloads/Transcripts/0%20-%20Government/USA%20-%20NASA%20Kennedy/"/>
    <hyperlink ref="C1584" r:id="rId1584" display="https://youtu.be/gzNjHW6H09A"/>
    <hyperlink ref="F1584" r:id="rId2" display="https://files.afu.se/Downloads/Transcripts/0%20-%20Government/USA%20-%20NASA%20Kennedy/"/>
    <hyperlink ref="C1585" r:id="rId1585" display="https://youtu.be/8HaEioEwyzk"/>
    <hyperlink ref="F1585" r:id="rId2" display="https://files.afu.se/Downloads/Transcripts/0%20-%20Government/USA%20-%20NASA%20Kennedy/"/>
    <hyperlink ref="C1586" r:id="rId1586" display="https://youtu.be/2Vf5zn5Vgno"/>
    <hyperlink ref="F1586" r:id="rId2" display="https://files.afu.se/Downloads/Transcripts/0%20-%20Government/USA%20-%20NASA%20Kennedy/"/>
    <hyperlink ref="C1587" r:id="rId1587" display="https://youtu.be/UCVjEKk1TWg"/>
    <hyperlink ref="F1587" r:id="rId2" display="https://files.afu.se/Downloads/Transcripts/0%20-%20Government/USA%20-%20NASA%20Kennedy/"/>
    <hyperlink ref="C1588" r:id="rId1588" display="https://youtu.be/OCBORBjbc-A"/>
    <hyperlink ref="F1588" r:id="rId2" display="https://files.afu.se/Downloads/Transcripts/0%20-%20Government/USA%20-%20NASA%20Kennedy/"/>
    <hyperlink ref="C1589" r:id="rId1589" display="https://youtu.be/1XeKS0MeLsA"/>
    <hyperlink ref="F1589" r:id="rId2" display="https://files.afu.se/Downloads/Transcripts/0%20-%20Government/USA%20-%20NASA%20Kennedy/"/>
    <hyperlink ref="C1590" r:id="rId1590" display="https://youtu.be/0OWdiBNdvpI"/>
    <hyperlink ref="F1590" r:id="rId2" display="https://files.afu.se/Downloads/Transcripts/0%20-%20Government/USA%20-%20NASA%20Kennedy/"/>
    <hyperlink ref="C1591" r:id="rId1591" display="https://youtu.be/2E5Q-ZucHRc"/>
    <hyperlink ref="F1591" r:id="rId2" display="https://files.afu.se/Downloads/Transcripts/0%20-%20Government/USA%20-%20NASA%20Kennedy/"/>
    <hyperlink ref="C1592" r:id="rId1592" display="https://youtu.be/axDQ3k7vHVc"/>
    <hyperlink ref="F1592" r:id="rId2" display="https://files.afu.se/Downloads/Transcripts/0%20-%20Government/USA%20-%20NASA%20Kennedy/"/>
    <hyperlink ref="C1593" r:id="rId1593" display="https://youtu.be/DrMPThP7P5E"/>
    <hyperlink ref="F1593" r:id="rId2" display="https://files.afu.se/Downloads/Transcripts/0%20-%20Government/USA%20-%20NASA%20Kennedy/"/>
    <hyperlink ref="C1594" r:id="rId1594" display="https://youtu.be/_LTBBiHZ4jQ"/>
    <hyperlink ref="F1594" r:id="rId2" display="https://files.afu.se/Downloads/Transcripts/0%20-%20Government/USA%20-%20NASA%20Kennedy/"/>
    <hyperlink ref="C1595" r:id="rId1595" display="https://youtu.be/X01mL7dbSjw"/>
    <hyperlink ref="F1595" r:id="rId2" display="https://files.afu.se/Downloads/Transcripts/0%20-%20Government/USA%20-%20NASA%20Kennedy/"/>
    <hyperlink ref="C1596" r:id="rId1596" display="https://youtu.be/m2q375mth1w"/>
    <hyperlink ref="F1596" r:id="rId2" display="https://files.afu.se/Downloads/Transcripts/0%20-%20Government/USA%20-%20NASA%20Kennedy/"/>
    <hyperlink ref="C1597" r:id="rId1597" display="https://youtu.be/PMFQFhUSCj0"/>
    <hyperlink ref="F1597" r:id="rId2" display="https://files.afu.se/Downloads/Transcripts/0%20-%20Government/USA%20-%20NASA%20Kennedy/"/>
    <hyperlink ref="C1598" r:id="rId1598" display="https://youtu.be/4OTMVMzrfms"/>
    <hyperlink ref="F1598" r:id="rId2" display="https://files.afu.se/Downloads/Transcripts/0%20-%20Government/USA%20-%20NASA%20Kennedy/"/>
    <hyperlink ref="C1599" r:id="rId1599" display="https://youtu.be/37ETKRYgXrU"/>
    <hyperlink ref="F1599" r:id="rId2" display="https://files.afu.se/Downloads/Transcripts/0%20-%20Government/USA%20-%20NASA%20Kennedy/"/>
    <hyperlink ref="C1600" r:id="rId1600" display="https://youtu.be/3HLtTRsPzSA"/>
    <hyperlink ref="F1600" r:id="rId2" display="https://files.afu.se/Downloads/Transcripts/0%20-%20Government/USA%20-%20NASA%20Kennedy/"/>
    <hyperlink ref="C1601" r:id="rId1601" display="https://youtu.be/uM-BqF2TIZo"/>
    <hyperlink ref="F1601" r:id="rId2" display="https://files.afu.se/Downloads/Transcripts/0%20-%20Government/USA%20-%20NASA%20Kennedy/"/>
    <hyperlink ref="C1602" r:id="rId1602" display="https://youtu.be/XjTl8BPk7NQ"/>
    <hyperlink ref="F1602" r:id="rId2" display="https://files.afu.se/Downloads/Transcripts/0%20-%20Government/USA%20-%20NASA%20Kennedy/"/>
    <hyperlink ref="C1603" r:id="rId1603" display="https://youtu.be/txtgdh8K1Zo"/>
    <hyperlink ref="F1603" r:id="rId2" display="https://files.afu.se/Downloads/Transcripts/0%20-%20Government/USA%20-%20NASA%20Kennedy/"/>
    <hyperlink ref="C1604" r:id="rId1604" display="https://youtu.be/uYEtDUEtBZc"/>
    <hyperlink ref="F1604" r:id="rId2" display="https://files.afu.se/Downloads/Transcripts/0%20-%20Government/USA%20-%20NASA%20Kennedy/"/>
    <hyperlink ref="C1605" r:id="rId1605" display="https://youtu.be/xRoi14aYJOM"/>
    <hyperlink ref="F1605" r:id="rId2" display="https://files.afu.se/Downloads/Transcripts/0%20-%20Government/USA%20-%20NASA%20Kennedy/"/>
    <hyperlink ref="C1606" r:id="rId1606" display="https://youtu.be/Ze2fJhIhih0"/>
    <hyperlink ref="F1606" r:id="rId2" display="https://files.afu.se/Downloads/Transcripts/0%20-%20Government/USA%20-%20NASA%20Kennedy/"/>
    <hyperlink ref="C1607" r:id="rId1607" display="https://youtu.be/c5taj-wYhJI"/>
    <hyperlink ref="F1607" r:id="rId2" display="https://files.afu.se/Downloads/Transcripts/0%20-%20Government/USA%20-%20NASA%20Kennedy/"/>
    <hyperlink ref="C1608" r:id="rId1608" display="https://youtu.be/j5nJKp5Ar38"/>
    <hyperlink ref="F1608" r:id="rId2" display="https://files.afu.se/Downloads/Transcripts/0%20-%20Government/USA%20-%20NASA%20Kennedy/"/>
    <hyperlink ref="C1609" r:id="rId1609" display="https://youtu.be/EqcFaR8aNCk"/>
    <hyperlink ref="F1609" r:id="rId2" display="https://files.afu.se/Downloads/Transcripts/0%20-%20Government/USA%20-%20NASA%20Kennedy/"/>
    <hyperlink ref="C1610" r:id="rId1610" display="https://youtu.be/tBbBBN9Ageo"/>
    <hyperlink ref="F1610" r:id="rId2" display="https://files.afu.se/Downloads/Transcripts/0%20-%20Government/USA%20-%20NASA%20Kennedy/"/>
    <hyperlink ref="C1611" r:id="rId1611" display="https://youtu.be/JM1NpvhgeK8"/>
    <hyperlink ref="F1611" r:id="rId2" display="https://files.afu.se/Downloads/Transcripts/0%20-%20Government/USA%20-%20NASA%20Kennedy/"/>
    <hyperlink ref="C1612" r:id="rId1612" display="https://youtu.be/LF30RR2RdvA"/>
    <hyperlink ref="F1612" r:id="rId2" display="https://files.afu.se/Downloads/Transcripts/0%20-%20Government/USA%20-%20NASA%20Kennedy/"/>
    <hyperlink ref="C1613" r:id="rId1613" display="https://youtu.be/fPJ1WL5ZThc"/>
    <hyperlink ref="F1613" r:id="rId2" display="https://files.afu.se/Downloads/Transcripts/0%20-%20Government/USA%20-%20NASA%20Kennedy/"/>
    <hyperlink ref="C1614" r:id="rId1614" display="https://youtu.be/tTteI1GUyL0"/>
    <hyperlink ref="F1614" r:id="rId2" display="https://files.afu.se/Downloads/Transcripts/0%20-%20Government/USA%20-%20NASA%20Kennedy/"/>
    <hyperlink ref="C1615" r:id="rId1615" display="https://youtu.be/0S-IVNqjbug"/>
    <hyperlink ref="F1615" r:id="rId2" display="https://files.afu.se/Downloads/Transcripts/0%20-%20Government/USA%20-%20NASA%20Kennedy/"/>
    <hyperlink ref="C1616" r:id="rId1616" display="https://youtu.be/aNtWCDDMTCo"/>
    <hyperlink ref="F1616" r:id="rId2" display="https://files.afu.se/Downloads/Transcripts/0%20-%20Government/USA%20-%20NASA%20Kennedy/"/>
    <hyperlink ref="C1617" r:id="rId1617" display="https://youtu.be/qM11-Qm5QOQ"/>
    <hyperlink ref="F1617" r:id="rId2" display="https://files.afu.se/Downloads/Transcripts/0%20-%20Government/USA%20-%20NASA%20Kennedy/"/>
    <hyperlink ref="C1618" r:id="rId1618" display="https://youtu.be/V5-qnbInLhI"/>
    <hyperlink ref="F1618" r:id="rId2" display="https://files.afu.se/Downloads/Transcripts/0%20-%20Government/USA%20-%20NASA%20Kennedy/"/>
    <hyperlink ref="C1619" r:id="rId1619" display="https://youtu.be/zhvuXG8OVg8"/>
    <hyperlink ref="F1619" r:id="rId2" display="https://files.afu.se/Downloads/Transcripts/0%20-%20Government/USA%20-%20NASA%20Kennedy/"/>
    <hyperlink ref="C1620" r:id="rId1620" display="https://youtu.be/qyeq0_9D8Wg"/>
    <hyperlink ref="F1620" r:id="rId2" display="https://files.afu.se/Downloads/Transcripts/0%20-%20Government/USA%20-%20NASA%20Kennedy/"/>
    <hyperlink ref="C1621" r:id="rId1621" display="https://youtu.be/lWlIkqwOasE"/>
    <hyperlink ref="F1621" r:id="rId2" display="https://files.afu.se/Downloads/Transcripts/0%20-%20Government/USA%20-%20NASA%20Kennedy/"/>
    <hyperlink ref="C1622" r:id="rId1622" display="https://youtu.be/rwKI_DElY3c"/>
    <hyperlink ref="F1622" r:id="rId2" display="https://files.afu.se/Downloads/Transcripts/0%20-%20Government/USA%20-%20NASA%20Kennedy/"/>
    <hyperlink ref="C1623" r:id="rId1623" display="https://youtu.be/FlGRaYZPBC8"/>
    <hyperlink ref="F1623" r:id="rId2" display="https://files.afu.se/Downloads/Transcripts/0%20-%20Government/USA%20-%20NASA%20Kennedy/"/>
    <hyperlink ref="C1624" r:id="rId1624" display="https://youtu.be/1DiOocDlesE"/>
    <hyperlink ref="F1624" r:id="rId2" display="https://files.afu.se/Downloads/Transcripts/0%20-%20Government/USA%20-%20NASA%20Kennedy/"/>
    <hyperlink ref="C1625" r:id="rId1625" display="https://youtu.be/hgByFMXYzIg"/>
    <hyperlink ref="F1625" r:id="rId2" display="https://files.afu.se/Downloads/Transcripts/0%20-%20Government/USA%20-%20NASA%20Kennedy/"/>
    <hyperlink ref="C1626" r:id="rId1626" display="https://youtu.be/9khLHv5afIk"/>
    <hyperlink ref="F1626" r:id="rId2" display="https://files.afu.se/Downloads/Transcripts/0%20-%20Government/USA%20-%20NASA%20Kennedy/"/>
    <hyperlink ref="C1627" r:id="rId1627" display="https://youtu.be/tCgwgv18Pvo"/>
    <hyperlink ref="F1627" r:id="rId2" display="https://files.afu.se/Downloads/Transcripts/0%20-%20Government/USA%20-%20NASA%20Kennedy/"/>
    <hyperlink ref="C1628" r:id="rId1628" display="https://youtu.be/a7LtxeTtSaM"/>
    <hyperlink ref="F1628" r:id="rId2" display="https://files.afu.se/Downloads/Transcripts/0%20-%20Government/USA%20-%20NASA%20Kennedy/"/>
    <hyperlink ref="C1629" r:id="rId1629" display="https://youtu.be/-ANFaNFP0nw"/>
    <hyperlink ref="F1629" r:id="rId2" display="https://files.afu.se/Downloads/Transcripts/0%20-%20Government/USA%20-%20NASA%20Kennedy/"/>
    <hyperlink ref="C1630" r:id="rId1630" display="https://youtu.be/HuZ8CWuS8iY"/>
    <hyperlink ref="F1630" r:id="rId2" display="https://files.afu.se/Downloads/Transcripts/0%20-%20Government/USA%20-%20NASA%20Kennedy/"/>
    <hyperlink ref="C1631" r:id="rId1631" display="https://youtu.be/MDc7E25pYBw"/>
    <hyperlink ref="F1631" r:id="rId2" display="https://files.afu.se/Downloads/Transcripts/0%20-%20Government/USA%20-%20NASA%20Kennedy/"/>
    <hyperlink ref="C1632" r:id="rId1632" display="https://youtu.be/DSNyl7zCKgQ"/>
    <hyperlink ref="F1632" r:id="rId2" display="https://files.afu.se/Downloads/Transcripts/0%20-%20Government/USA%20-%20NASA%20Kennedy/"/>
    <hyperlink ref="C1633" r:id="rId1633" display="https://youtu.be/R5HMefvGXG0"/>
    <hyperlink ref="F1633" r:id="rId2" display="https://files.afu.se/Downloads/Transcripts/0%20-%20Government/USA%20-%20NASA%20Kennedy/"/>
    <hyperlink ref="C1634" r:id="rId1634" display="https://youtu.be/3pyaNyH64V4"/>
    <hyperlink ref="F1634" r:id="rId2" display="https://files.afu.se/Downloads/Transcripts/0%20-%20Government/USA%20-%20NASA%20Kennedy/"/>
    <hyperlink ref="C1635" r:id="rId1635" display="https://youtu.be/Rh-t30jPenk"/>
    <hyperlink ref="F1635" r:id="rId2" display="https://files.afu.se/Downloads/Transcripts/0%20-%20Government/USA%20-%20NASA%20Kennedy/"/>
    <hyperlink ref="C1636" r:id="rId1636" display="https://youtu.be/Qkk6ufuagSA"/>
    <hyperlink ref="F1636" r:id="rId2" display="https://files.afu.se/Downloads/Transcripts/0%20-%20Government/USA%20-%20NASA%20Kennedy/"/>
    <hyperlink ref="C1637" r:id="rId1637" display="https://youtu.be/WMRSGhqk594"/>
    <hyperlink ref="F1637" r:id="rId2" display="https://files.afu.se/Downloads/Transcripts/0%20-%20Government/USA%20-%20NASA%20Kennedy/"/>
    <hyperlink ref="C1638" r:id="rId1638" display="https://youtu.be/o15VJUBriI4"/>
    <hyperlink ref="F1638" r:id="rId2" display="https://files.afu.se/Downloads/Transcripts/0%20-%20Government/USA%20-%20NASA%20Kennedy/"/>
    <hyperlink ref="C1639" r:id="rId1639" display="https://youtu.be/BpL2GbtmDT4"/>
    <hyperlink ref="F1639" r:id="rId2" display="https://files.afu.se/Downloads/Transcripts/0%20-%20Government/USA%20-%20NASA%20Kennedy/"/>
    <hyperlink ref="C1640" r:id="rId1640" display="https://youtu.be/zKkRuLNypX0"/>
    <hyperlink ref="F1640" r:id="rId2" display="https://files.afu.se/Downloads/Transcripts/0%20-%20Government/USA%20-%20NASA%20Kennedy/"/>
    <hyperlink ref="C1641" r:id="rId1641" display="https://youtu.be/vuzCiuOIzMc"/>
    <hyperlink ref="F1641" r:id="rId2" display="https://files.afu.se/Downloads/Transcripts/0%20-%20Government/USA%20-%20NASA%20Kennedy/"/>
    <hyperlink ref="C1642" r:id="rId1642" display="https://youtu.be/Bsm8iImlStU"/>
    <hyperlink ref="F1642" r:id="rId2" display="https://files.afu.se/Downloads/Transcripts/0%20-%20Government/USA%20-%20NASA%20Kennedy/"/>
    <hyperlink ref="C1643" r:id="rId1643" display="https://youtu.be/-nMEfpGLIOo"/>
    <hyperlink ref="F1643" r:id="rId2" display="https://files.afu.se/Downloads/Transcripts/0%20-%20Government/USA%20-%20NASA%20Kennedy/"/>
    <hyperlink ref="C1644" r:id="rId1644" display="https://youtu.be/EmNJDpEr7K8"/>
    <hyperlink ref="F1644" r:id="rId2" display="https://files.afu.se/Downloads/Transcripts/0%20-%20Government/USA%20-%20NASA%20Kennedy/"/>
    <hyperlink ref="C1645" r:id="rId1645" display="https://youtu.be/B0QYvV3B1n0"/>
    <hyperlink ref="F1645" r:id="rId2" display="https://files.afu.se/Downloads/Transcripts/0%20-%20Government/USA%20-%20NASA%20Kennedy/"/>
    <hyperlink ref="C1646" r:id="rId1646" display="https://youtu.be/JIvgVDQXjz4"/>
    <hyperlink ref="F1646" r:id="rId2" display="https://files.afu.se/Downloads/Transcripts/0%20-%20Government/USA%20-%20NASA%20Kennedy/"/>
    <hyperlink ref="C1647" r:id="rId1647" display="https://youtu.be/_chImqQ2Vwg"/>
    <hyperlink ref="F1647" r:id="rId2" display="https://files.afu.se/Downloads/Transcripts/0%20-%20Government/USA%20-%20NASA%20Kennedy/"/>
    <hyperlink ref="C1648" r:id="rId1648" display="https://youtu.be/_vkjvcdrVU4"/>
    <hyperlink ref="F1648" r:id="rId2" display="https://files.afu.se/Downloads/Transcripts/0%20-%20Government/USA%20-%20NASA%20Kennedy/"/>
    <hyperlink ref="C1649" r:id="rId1649" display="https://youtu.be/7hdHDpv_1Fg"/>
    <hyperlink ref="F1649" r:id="rId2" display="https://files.afu.se/Downloads/Transcripts/0%20-%20Government/USA%20-%20NASA%20Kennedy/"/>
    <hyperlink ref="C1650" r:id="rId1650" display="https://youtu.be/A8leW4SPuv0"/>
    <hyperlink ref="F1650" r:id="rId2" display="https://files.afu.se/Downloads/Transcripts/0%20-%20Government/USA%20-%20NASA%20Kennedy/"/>
    <hyperlink ref="C1651" r:id="rId1651" display="https://youtu.be/v6KHwAritXM"/>
    <hyperlink ref="F1651" r:id="rId2" display="https://files.afu.se/Downloads/Transcripts/0%20-%20Government/USA%20-%20NASA%20Kennedy/"/>
    <hyperlink ref="C1652" r:id="rId1652" display="https://youtu.be/jETIPwFj29E"/>
    <hyperlink ref="F1652" r:id="rId2" display="https://files.afu.se/Downloads/Transcripts/0%20-%20Government/USA%20-%20NASA%20Kennedy/"/>
    <hyperlink ref="C1653" r:id="rId1653" display="https://youtu.be/HRhgbHUXKC0"/>
    <hyperlink ref="F1653" r:id="rId2" display="https://files.afu.se/Downloads/Transcripts/0%20-%20Government/USA%20-%20NASA%20Kennedy/"/>
    <hyperlink ref="C1654" r:id="rId1654" display="https://youtu.be/vFgsY1GRVkc"/>
    <hyperlink ref="F1654" r:id="rId2" display="https://files.afu.se/Downloads/Transcripts/0%20-%20Government/USA%20-%20NASA%20Kennedy/"/>
    <hyperlink ref="C1655" r:id="rId1655" display="https://youtu.be/lif7Ua5tnW0"/>
    <hyperlink ref="F1655" r:id="rId2" display="https://files.afu.se/Downloads/Transcripts/0%20-%20Government/USA%20-%20NASA%20Kennedy/"/>
    <hyperlink ref="C1656" r:id="rId1656" display="https://youtu.be/pxV3TDef_TA"/>
    <hyperlink ref="F1656" r:id="rId2" display="https://files.afu.se/Downloads/Transcripts/0%20-%20Government/USA%20-%20NASA%20Kennedy/"/>
    <hyperlink ref="C1657" r:id="rId1657" display="https://youtu.be/YGaydIFGwRE"/>
    <hyperlink ref="F1657" r:id="rId2" display="https://files.afu.se/Downloads/Transcripts/0%20-%20Government/USA%20-%20NASA%20Kennedy/"/>
    <hyperlink ref="C1658" r:id="rId1658" display="https://youtu.be/5vfyZtVPvfs"/>
    <hyperlink ref="F1658" r:id="rId2" display="https://files.afu.se/Downloads/Transcripts/0%20-%20Government/USA%20-%20NASA%20Kennedy/"/>
    <hyperlink ref="C1659" r:id="rId1659" display="https://youtu.be/1bFj2tWds38"/>
    <hyperlink ref="F1659" r:id="rId2" display="https://files.afu.se/Downloads/Transcripts/0%20-%20Government/USA%20-%20NASA%20Kennedy/"/>
    <hyperlink ref="C1660" r:id="rId1660" display="https://youtu.be/LINQi807FYY"/>
    <hyperlink ref="F1660" r:id="rId2" display="https://files.afu.se/Downloads/Transcripts/0%20-%20Government/USA%20-%20NASA%20Kennedy/"/>
    <hyperlink ref="C1661" r:id="rId1661" display="https://youtu.be/ov7SIYihRmE"/>
    <hyperlink ref="F1661" r:id="rId2" display="https://files.afu.se/Downloads/Transcripts/0%20-%20Government/USA%20-%20NASA%20Kennedy/"/>
    <hyperlink ref="C1662" r:id="rId1662" display="https://youtu.be/kEGYewXifT4"/>
    <hyperlink ref="F1662" r:id="rId2" display="https://files.afu.se/Downloads/Transcripts/0%20-%20Government/USA%20-%20NASA%20Kennedy/"/>
    <hyperlink ref="C1663" r:id="rId1663" display="https://youtu.be/BJGaXzNIrdE"/>
    <hyperlink ref="F1663" r:id="rId2" display="https://files.afu.se/Downloads/Transcripts/0%20-%20Government/USA%20-%20NASA%20Kennedy/"/>
    <hyperlink ref="C1664" r:id="rId1664" display="https://youtu.be/easkkbaMjd8"/>
    <hyperlink ref="F1664" r:id="rId2" display="https://files.afu.se/Downloads/Transcripts/0%20-%20Government/USA%20-%20NASA%20Kennedy/"/>
    <hyperlink ref="C1665" r:id="rId1665" display="https://youtu.be/N61xawXhdhA"/>
    <hyperlink ref="F1665" r:id="rId2" display="https://files.afu.se/Downloads/Transcripts/0%20-%20Government/USA%20-%20NASA%20Kennedy/"/>
    <hyperlink ref="C1666" r:id="rId1666" display="https://youtu.be/MzUsI4Uf3lc"/>
    <hyperlink ref="F1666" r:id="rId2" display="https://files.afu.se/Downloads/Transcripts/0%20-%20Government/USA%20-%20NASA%20Kennedy/"/>
    <hyperlink ref="C1667" r:id="rId1667" display="https://youtu.be/sgRuCHiqYUE"/>
    <hyperlink ref="F1667" r:id="rId2" display="https://files.afu.se/Downloads/Transcripts/0%20-%20Government/USA%20-%20NASA%20Kennedy/"/>
    <hyperlink ref="C1668" r:id="rId1668" display="https://youtu.be/fW5cJ4-uMYc"/>
    <hyperlink ref="F1668" r:id="rId2" display="https://files.afu.se/Downloads/Transcripts/0%20-%20Government/USA%20-%20NASA%20Kennedy/"/>
    <hyperlink ref="C1669" r:id="rId1669" display="https://youtu.be/m9GBnDJU1iE"/>
    <hyperlink ref="F1669" r:id="rId2" display="https://files.afu.se/Downloads/Transcripts/0%20-%20Government/USA%20-%20NASA%20Kennedy/"/>
    <hyperlink ref="C1670" r:id="rId1670" display="https://youtu.be/AIBr3wlL4X8"/>
    <hyperlink ref="F1670" r:id="rId2" display="https://files.afu.se/Downloads/Transcripts/0%20-%20Government/USA%20-%20NASA%20Kennedy/"/>
    <hyperlink ref="C1671" r:id="rId1671" display="https://youtu.be/94fMTHLdI3k"/>
    <hyperlink ref="F1671" r:id="rId2" display="https://files.afu.se/Downloads/Transcripts/0%20-%20Government/USA%20-%20NASA%20Kennedy/"/>
    <hyperlink ref="C1672" r:id="rId1672" display="https://youtu.be/Uym_zFWtXps"/>
    <hyperlink ref="F1672" r:id="rId2" display="https://files.afu.se/Downloads/Transcripts/0%20-%20Government/USA%20-%20NASA%20Kennedy/"/>
    <hyperlink ref="C1673" r:id="rId1673" display="https://youtu.be/l1m1Mr0aPSs"/>
    <hyperlink ref="F1673" r:id="rId2" display="https://files.afu.se/Downloads/Transcripts/0%20-%20Government/USA%20-%20NASA%20Kennedy/"/>
    <hyperlink ref="C1674" r:id="rId1674" display="https://youtu.be/JO3gQ-zWPvY"/>
    <hyperlink ref="F1674" r:id="rId2" display="https://files.afu.se/Downloads/Transcripts/0%20-%20Government/USA%20-%20NASA%20Kennedy/"/>
    <hyperlink ref="C1675" r:id="rId1675" display="https://youtu.be/oEaFDTL3jtY"/>
    <hyperlink ref="F1675" r:id="rId2" display="https://files.afu.se/Downloads/Transcripts/0%20-%20Government/USA%20-%20NASA%20Kennedy/"/>
    <hyperlink ref="C1676" r:id="rId1676" display="https://youtu.be/g5VkYpZWJAY"/>
    <hyperlink ref="F1676" r:id="rId2" display="https://files.afu.se/Downloads/Transcripts/0%20-%20Government/USA%20-%20NASA%20Kennedy/"/>
    <hyperlink ref="C1677" r:id="rId1677" display="https://youtu.be/7EM7YzCzSGQ"/>
    <hyperlink ref="F1677" r:id="rId2" display="https://files.afu.se/Downloads/Transcripts/0%20-%20Government/USA%20-%20NASA%20Kennedy/"/>
    <hyperlink ref="C1678" r:id="rId1678" display="https://youtu.be/a3t_zvBMMKE"/>
    <hyperlink ref="F1678" r:id="rId2" display="https://files.afu.se/Downloads/Transcripts/0%20-%20Government/USA%20-%20NASA%20Kennedy/"/>
    <hyperlink ref="C1679" r:id="rId1679" display="https://youtu.be/iNunR_PffsU"/>
    <hyperlink ref="F1679" r:id="rId2" display="https://files.afu.se/Downloads/Transcripts/0%20-%20Government/USA%20-%20NASA%20Kennedy/"/>
    <hyperlink ref="C1680" r:id="rId1680" display="https://youtu.be/Cp8txp4VH4g"/>
    <hyperlink ref="F1680" r:id="rId2" display="https://files.afu.se/Downloads/Transcripts/0%20-%20Government/USA%20-%20NASA%20Kennedy/"/>
    <hyperlink ref="C1681" r:id="rId1681" display="https://youtu.be/mcgH4YFpYDI"/>
    <hyperlink ref="F1681" r:id="rId2" display="https://files.afu.se/Downloads/Transcripts/0%20-%20Government/USA%20-%20NASA%20Kennedy/"/>
    <hyperlink ref="C1682" r:id="rId1682" display="https://youtu.be/O7iwkKFAKzs"/>
    <hyperlink ref="F1682" r:id="rId2" display="https://files.afu.se/Downloads/Transcripts/0%20-%20Government/USA%20-%20NASA%20Kennedy/"/>
    <hyperlink ref="C1683" r:id="rId1683" display="https://youtu.be/lxzDc4D4hjY"/>
    <hyperlink ref="F1683" r:id="rId2" display="https://files.afu.se/Downloads/Transcripts/0%20-%20Government/USA%20-%20NASA%20Kennedy/"/>
    <hyperlink ref="C1684" r:id="rId1684" display="https://youtu.be/O2C9XrkGS9M"/>
    <hyperlink ref="F1684" r:id="rId2" display="https://files.afu.se/Downloads/Transcripts/0%20-%20Government/USA%20-%20NASA%20Kennedy/"/>
    <hyperlink ref="C1685" r:id="rId1685" display="https://youtu.be/3ZMXEjufCmY"/>
    <hyperlink ref="F1685" r:id="rId2" display="https://files.afu.se/Downloads/Transcripts/0%20-%20Government/USA%20-%20NASA%20Kennedy/"/>
    <hyperlink ref="C1686" r:id="rId1686" display="https://youtu.be/5uaFTurUOkI"/>
    <hyperlink ref="F1686" r:id="rId2" display="https://files.afu.se/Downloads/Transcripts/0%20-%20Government/USA%20-%20NASA%20Kennedy/"/>
    <hyperlink ref="C1687" r:id="rId1687" display="https://youtu.be/erHYPQLf8aw"/>
    <hyperlink ref="F1687" r:id="rId2" display="https://files.afu.se/Downloads/Transcripts/0%20-%20Government/USA%20-%20NASA%20Kennedy/"/>
    <hyperlink ref="C1688" r:id="rId1688" display="https://youtu.be/SnzF9AzfhaU"/>
    <hyperlink ref="F1688" r:id="rId2" display="https://files.afu.se/Downloads/Transcripts/0%20-%20Government/USA%20-%20NASA%20Kennedy/"/>
    <hyperlink ref="C1689" r:id="rId1689" display="https://youtu.be/ljtNVoR78J8"/>
    <hyperlink ref="F1689" r:id="rId2" display="https://files.afu.se/Downloads/Transcripts/0%20-%20Government/USA%20-%20NASA%20Kennedy/"/>
    <hyperlink ref="C1690" r:id="rId1690" display="https://youtu.be/y3B4eZCWm7o"/>
    <hyperlink ref="F1690" r:id="rId2" display="https://files.afu.se/Downloads/Transcripts/0%20-%20Government/USA%20-%20NASA%20Kennedy/"/>
    <hyperlink ref="C1691" r:id="rId1691" display="https://youtu.be/Mk9qe5o5DnM"/>
    <hyperlink ref="F1691" r:id="rId2" display="https://files.afu.se/Downloads/Transcripts/0%20-%20Government/USA%20-%20NASA%20Kennedy/"/>
    <hyperlink ref="C1692" r:id="rId1692" display="https://youtu.be/Jei02El3wpc"/>
    <hyperlink ref="F1692" r:id="rId2" display="https://files.afu.se/Downloads/Transcripts/0%20-%20Government/USA%20-%20NASA%20Kennedy/"/>
    <hyperlink ref="C1693" r:id="rId1693" display="https://youtu.be/dtE-RiUzAhk"/>
    <hyperlink ref="F1693" r:id="rId2" display="https://files.afu.se/Downloads/Transcripts/0%20-%20Government/USA%20-%20NASA%20Kennedy/"/>
    <hyperlink ref="C1694" r:id="rId1694" display="https://youtu.be/PDwH9UlRIjc"/>
    <hyperlink ref="F1694" r:id="rId2" display="https://files.afu.se/Downloads/Transcripts/0%20-%20Government/USA%20-%20NASA%20Kennedy/"/>
    <hyperlink ref="C1695" r:id="rId1695" display="https://youtu.be/1drp3bFh4kk"/>
    <hyperlink ref="F1695" r:id="rId2" display="https://files.afu.se/Downloads/Transcripts/0%20-%20Government/USA%20-%20NASA%20Kennedy/"/>
    <hyperlink ref="C1696" r:id="rId1696" display="https://youtu.be/PpxA8XSK3U0"/>
    <hyperlink ref="F1696" r:id="rId2" display="https://files.afu.se/Downloads/Transcripts/0%20-%20Government/USA%20-%20NASA%20Kennedy/"/>
    <hyperlink ref="C1697" r:id="rId1697" display="https://youtu.be/8K7J5qhuJ6A"/>
    <hyperlink ref="F1697" r:id="rId2" display="https://files.afu.se/Downloads/Transcripts/0%20-%20Government/USA%20-%20NASA%20Kennedy/"/>
    <hyperlink ref="C1698" r:id="rId1698" display="https://youtu.be/82P5uJXTaOk"/>
    <hyperlink ref="F1698" r:id="rId2" display="https://files.afu.se/Downloads/Transcripts/0%20-%20Government/USA%20-%20NASA%20Kennedy/"/>
    <hyperlink ref="C1699" r:id="rId1699" display="https://youtu.be/ObcL0BNL1_k"/>
    <hyperlink ref="F1699" r:id="rId2" display="https://files.afu.se/Downloads/Transcripts/0%20-%20Government/USA%20-%20NASA%20Kennedy/"/>
    <hyperlink ref="C1700" r:id="rId1700" display="https://youtu.be/JFWLM4rHUZk"/>
    <hyperlink ref="F1700" r:id="rId2" display="https://files.afu.se/Downloads/Transcripts/0%20-%20Government/USA%20-%20NASA%20Kennedy/"/>
    <hyperlink ref="C1701" r:id="rId1701" display="https://youtu.be/W0ltvXVJ5u4"/>
    <hyperlink ref="F1701" r:id="rId2" display="https://files.afu.se/Downloads/Transcripts/0%20-%20Government/USA%20-%20NASA%20Kennedy/"/>
    <hyperlink ref="C1702" r:id="rId1702" display="https://youtu.be/grC0HFhGA70"/>
    <hyperlink ref="F1702" r:id="rId2" display="https://files.afu.se/Downloads/Transcripts/0%20-%20Government/USA%20-%20NASA%20Kennedy/"/>
    <hyperlink ref="C1703" r:id="rId1703" display="https://youtu.be/F0sfUMnkItY"/>
    <hyperlink ref="F1703" r:id="rId2" display="https://files.afu.se/Downloads/Transcripts/0%20-%20Government/USA%20-%20NASA%20Kennedy/"/>
    <hyperlink ref="C1704" r:id="rId1704" display="https://youtu.be/5VPAUXAbZ64"/>
    <hyperlink ref="F1704" r:id="rId2" display="https://files.afu.se/Downloads/Transcripts/0%20-%20Government/USA%20-%20NASA%20Kennedy/"/>
    <hyperlink ref="C1705" r:id="rId1705" display="https://youtu.be/uXP3D4Ps5z0"/>
    <hyperlink ref="F1705" r:id="rId2" display="https://files.afu.se/Downloads/Transcripts/0%20-%20Government/USA%20-%20NASA%20Kennedy/"/>
    <hyperlink ref="C1706" r:id="rId1706" display="https://youtu.be/d-Lhf_PhlSQ"/>
    <hyperlink ref="F1706" r:id="rId2" display="https://files.afu.se/Downloads/Transcripts/0%20-%20Government/USA%20-%20NASA%20Kennedy/"/>
    <hyperlink ref="C1707" r:id="rId1707" display="https://youtu.be/5W5fYQT97XE"/>
    <hyperlink ref="F1707" r:id="rId2" display="https://files.afu.se/Downloads/Transcripts/0%20-%20Government/USA%20-%20NASA%20Kennedy/"/>
    <hyperlink ref="C1708" r:id="rId1708" display="https://youtu.be/rgJOVnr-LbY"/>
    <hyperlink ref="F1708" r:id="rId2" display="https://files.afu.se/Downloads/Transcripts/0%20-%20Government/USA%20-%20NASA%20Kennedy/"/>
    <hyperlink ref="C1709" r:id="rId1709" display="https://youtu.be/Ts2-J2VhAv0"/>
    <hyperlink ref="F1709" r:id="rId2" display="https://files.afu.se/Downloads/Transcripts/0%20-%20Government/USA%20-%20NASA%20Kennedy/"/>
    <hyperlink ref="C1710" r:id="rId1710" display="https://youtu.be/H0ZHzAvFuYc"/>
    <hyperlink ref="F1710" r:id="rId2" display="https://files.afu.se/Downloads/Transcripts/0%20-%20Government/USA%20-%20NASA%20Kennedy/"/>
    <hyperlink ref="C1711" r:id="rId1711" display="https://youtu.be/ZNdhcJRaA3w"/>
    <hyperlink ref="F1711" r:id="rId2" display="https://files.afu.se/Downloads/Transcripts/0%20-%20Government/USA%20-%20NASA%20Kennedy/"/>
    <hyperlink ref="C1712" r:id="rId1712" display="https://youtu.be/UilV8Xrlt4Q"/>
    <hyperlink ref="F1712" r:id="rId2" display="https://files.afu.se/Downloads/Transcripts/0%20-%20Government/USA%20-%20NASA%20Kennedy/"/>
    <hyperlink ref="C1713" r:id="rId1713" display="https://youtu.be/6lI7kXgSLbQ"/>
    <hyperlink ref="F1713" r:id="rId2" display="https://files.afu.se/Downloads/Transcripts/0%20-%20Government/USA%20-%20NASA%20Kennedy/"/>
    <hyperlink ref="C1714" r:id="rId1714" display="https://youtu.be/AGR1wueBNkk"/>
    <hyperlink ref="F1714" r:id="rId2" display="https://files.afu.se/Downloads/Transcripts/0%20-%20Government/USA%20-%20NASA%20Kennedy/"/>
    <hyperlink ref="C1715" r:id="rId1715" display="https://youtu.be/dCpZ0D_Rvus"/>
    <hyperlink ref="F1715" r:id="rId2" display="https://files.afu.se/Downloads/Transcripts/0%20-%20Government/USA%20-%20NASA%20Kennedy/"/>
    <hyperlink ref="C1716" r:id="rId1716" display="https://youtu.be/xckreOVh6KQ"/>
    <hyperlink ref="F1716" r:id="rId2" display="https://files.afu.se/Downloads/Transcripts/0%20-%20Government/USA%20-%20NASA%20Kennedy/"/>
    <hyperlink ref="C1717" r:id="rId1717" display="https://youtu.be/lli_ANKU8Yc"/>
    <hyperlink ref="F1717" r:id="rId2" display="https://files.afu.se/Downloads/Transcripts/0%20-%20Government/USA%20-%20NASA%20Kennedy/"/>
    <hyperlink ref="C1718" r:id="rId1718" display="https://youtu.be/3DGyY3rOrRw"/>
    <hyperlink ref="F1718" r:id="rId2" display="https://files.afu.se/Downloads/Transcripts/0%20-%20Government/USA%20-%20NASA%20Kennedy/"/>
    <hyperlink ref="C1719" r:id="rId1719" display="https://youtu.be/fPHNqLCvqHw"/>
    <hyperlink ref="F1719" r:id="rId2" display="https://files.afu.se/Downloads/Transcripts/0%20-%20Government/USA%20-%20NASA%20Kennedy/"/>
    <hyperlink ref="C1720" r:id="rId1720" display="https://youtu.be/NGfQMMu5Hc4"/>
    <hyperlink ref="F1720" r:id="rId2" display="https://files.afu.se/Downloads/Transcripts/0%20-%20Government/USA%20-%20NASA%20Kennedy/"/>
    <hyperlink ref="C1721" r:id="rId1721" display="https://youtu.be/03qHnV8BpBM"/>
    <hyperlink ref="F1721" r:id="rId2" display="https://files.afu.se/Downloads/Transcripts/0%20-%20Government/USA%20-%20NASA%20Kennedy/"/>
    <hyperlink ref="C1722" r:id="rId1722" display="https://youtu.be/CzXsBGKoPDE"/>
    <hyperlink ref="F1722" r:id="rId2" display="https://files.afu.se/Downloads/Transcripts/0%20-%20Government/USA%20-%20NASA%20Kennedy/"/>
    <hyperlink ref="C1723" r:id="rId1723" display="https://youtu.be/NfvWf9-ohIg"/>
    <hyperlink ref="F1723" r:id="rId2" display="https://files.afu.se/Downloads/Transcripts/0%20-%20Government/USA%20-%20NASA%20Kennedy/"/>
    <hyperlink ref="C1724" r:id="rId1724" display="https://youtu.be/dpyKTRsGExI"/>
    <hyperlink ref="F1724" r:id="rId2" display="https://files.afu.se/Downloads/Transcripts/0%20-%20Government/USA%20-%20NASA%20Kennedy/"/>
    <hyperlink ref="C1725" r:id="rId1725" display="https://youtu.be/EwVxjqvHihM"/>
    <hyperlink ref="F1725" r:id="rId2" display="https://files.afu.se/Downloads/Transcripts/0%20-%20Government/USA%20-%20NASA%20Kennedy/"/>
    <hyperlink ref="C1726" r:id="rId1726" display="https://youtu.be/oDMBvXeDY6g"/>
    <hyperlink ref="F1726" r:id="rId2" display="https://files.afu.se/Downloads/Transcripts/0%20-%20Government/USA%20-%20NASA%20Kennedy/"/>
    <hyperlink ref="C1727" r:id="rId1727" display="https://youtu.be/ckI2FyBTsZA"/>
    <hyperlink ref="F1727" r:id="rId2" display="https://files.afu.se/Downloads/Transcripts/0%20-%20Government/USA%20-%20NASA%20Kennedy/"/>
    <hyperlink ref="C1728" r:id="rId1728" display="https://youtu.be/9kfVxQTEbGk"/>
    <hyperlink ref="F1728" r:id="rId2" display="https://files.afu.se/Downloads/Transcripts/0%20-%20Government/USA%20-%20NASA%20Kennedy/"/>
    <hyperlink ref="C1729" r:id="rId1729" display="https://youtu.be/3kBdNJVIuBA"/>
    <hyperlink ref="F1729" r:id="rId2" display="https://files.afu.se/Downloads/Transcripts/0%20-%20Government/USA%20-%20NASA%20Kennedy/"/>
    <hyperlink ref="C1730" r:id="rId1730" display="https://youtu.be/EczIjsMawQw"/>
    <hyperlink ref="F1730" r:id="rId2" display="https://files.afu.se/Downloads/Transcripts/0%20-%20Government/USA%20-%20NASA%20Kennedy/"/>
    <hyperlink ref="C1731" r:id="rId1731" display="https://youtu.be/tefLGpfFaAs"/>
    <hyperlink ref="F1731" r:id="rId2" display="https://files.afu.se/Downloads/Transcripts/0%20-%20Government/USA%20-%20NASA%20Kennedy/"/>
    <hyperlink ref="C1732" r:id="rId1732" display="https://youtu.be/ijvC8AzCF1M"/>
    <hyperlink ref="F1732" r:id="rId2" display="https://files.afu.se/Downloads/Transcripts/0%20-%20Government/USA%20-%20NASA%20Kennedy/"/>
    <hyperlink ref="C1733" r:id="rId1733" display="https://youtu.be/2cPWLrviMgY"/>
    <hyperlink ref="F1733" r:id="rId2" display="https://files.afu.se/Downloads/Transcripts/0%20-%20Government/USA%20-%20NASA%20Kennedy/"/>
    <hyperlink ref="C1734" r:id="rId1734" display="https://youtu.be/CUSbQfDMyio"/>
    <hyperlink ref="F1734" r:id="rId2" display="https://files.afu.se/Downloads/Transcripts/0%20-%20Government/USA%20-%20NASA%20Kennedy/"/>
    <hyperlink ref="C1735" r:id="rId1735" display="https://youtu.be/gdlzKTeb9Dk"/>
    <hyperlink ref="F1735" r:id="rId2" display="https://files.afu.se/Downloads/Transcripts/0%20-%20Government/USA%20-%20NASA%20Kennedy/"/>
    <hyperlink ref="C1736" r:id="rId1736" display="https://youtu.be/4pJj152X3BE"/>
    <hyperlink ref="F1736" r:id="rId2" display="https://files.afu.se/Downloads/Transcripts/0%20-%20Government/USA%20-%20NASA%20Kennedy/"/>
    <hyperlink ref="C1737" r:id="rId1737" display="https://youtu.be/SPP9OyLaDBE"/>
    <hyperlink ref="F1737" r:id="rId2" display="https://files.afu.se/Downloads/Transcripts/0%20-%20Government/USA%20-%20NASA%20Kennedy/"/>
    <hyperlink ref="C1738" r:id="rId1738" display="https://youtu.be/Fz13jfoJui0"/>
    <hyperlink ref="F1738" r:id="rId2" display="https://files.afu.se/Downloads/Transcripts/0%20-%20Government/USA%20-%20NASA%20Kennedy/"/>
    <hyperlink ref="C1739" r:id="rId1739" display="https://youtu.be/Js-JK8gCkYk"/>
    <hyperlink ref="F1739" r:id="rId2" display="https://files.afu.se/Downloads/Transcripts/0%20-%20Government/USA%20-%20NASA%20Kennedy/"/>
    <hyperlink ref="C1740" r:id="rId1740" display="https://youtu.be/ULgNlkRE-3g"/>
    <hyperlink ref="F1740" r:id="rId2" display="https://files.afu.se/Downloads/Transcripts/0%20-%20Government/USA%20-%20NASA%20Kennedy/"/>
    <hyperlink ref="C1741" r:id="rId1741" display="https://youtu.be/E0YR9gT8Mis"/>
    <hyperlink ref="F1741" r:id="rId2" display="https://files.afu.se/Downloads/Transcripts/0%20-%20Government/USA%20-%20NASA%20Kennedy/"/>
    <hyperlink ref="C1742" r:id="rId1742" display="https://youtu.be/P2itpixEZ6o"/>
    <hyperlink ref="F1742" r:id="rId2" display="https://files.afu.se/Downloads/Transcripts/0%20-%20Government/USA%20-%20NASA%20Kennedy/"/>
    <hyperlink ref="C1743" r:id="rId1743" display="https://youtu.be/Gnch_x1G22w"/>
    <hyperlink ref="F1743" r:id="rId2" display="https://files.afu.se/Downloads/Transcripts/0%20-%20Government/USA%20-%20NASA%20Kennedy/"/>
    <hyperlink ref="C1744" r:id="rId1744" display="https://youtu.be/nDCGJb1TaoQ"/>
    <hyperlink ref="F1744" r:id="rId2" display="https://files.afu.se/Downloads/Transcripts/0%20-%20Government/USA%20-%20NASA%20Kennedy/"/>
    <hyperlink ref="C1745" r:id="rId1745" display="https://youtu.be/rymMpXl6FYA"/>
    <hyperlink ref="F1745" r:id="rId2" display="https://files.afu.se/Downloads/Transcripts/0%20-%20Government/USA%20-%20NASA%20Kennedy/"/>
    <hyperlink ref="C1746" r:id="rId1746" display="https://youtu.be/z-s9pQXzxCE"/>
    <hyperlink ref="F1746" r:id="rId2" display="https://files.afu.se/Downloads/Transcripts/0%20-%20Government/USA%20-%20NASA%20Kennedy/"/>
    <hyperlink ref="C1747" r:id="rId1747" display="https://youtu.be/mDxxuMwAEd4"/>
    <hyperlink ref="F1747" r:id="rId2" display="https://files.afu.se/Downloads/Transcripts/0%20-%20Government/USA%20-%20NASA%20Kennedy/"/>
    <hyperlink ref="C1748" r:id="rId1748" display="https://youtu.be/be5ukUtu8mg"/>
    <hyperlink ref="F1748" r:id="rId2" display="https://files.afu.se/Downloads/Transcripts/0%20-%20Government/USA%20-%20NASA%20Kennedy/"/>
    <hyperlink ref="C1749" r:id="rId1749" display="https://youtu.be/hVqnOvC-ksU"/>
    <hyperlink ref="F1749" r:id="rId2" display="https://files.afu.se/Downloads/Transcripts/0%20-%20Government/USA%20-%20NASA%20Kennedy/"/>
    <hyperlink ref="C1750" r:id="rId1750" display="https://youtu.be/j2z559S1MKA"/>
    <hyperlink ref="F1750" r:id="rId2" display="https://files.afu.se/Downloads/Transcripts/0%20-%20Government/USA%20-%20NASA%20Kennedy/"/>
    <hyperlink ref="C1751" r:id="rId1751" display="https://youtu.be/lQSpFfvtQQk"/>
    <hyperlink ref="F1751" r:id="rId2" display="https://files.afu.se/Downloads/Transcripts/0%20-%20Government/USA%20-%20NASA%20Kennedy/"/>
    <hyperlink ref="C1752" r:id="rId1752" display="https://youtu.be/WhhACIqczO4"/>
    <hyperlink ref="F1752" r:id="rId2" display="https://files.afu.se/Downloads/Transcripts/0%20-%20Government/USA%20-%20NASA%20Kennedy/"/>
    <hyperlink ref="C1753" r:id="rId1753" display="https://youtu.be/jW39sJeLLWc"/>
    <hyperlink ref="F1753" r:id="rId2" display="https://files.afu.se/Downloads/Transcripts/0%20-%20Government/USA%20-%20NASA%20Kennedy/"/>
    <hyperlink ref="C1754" r:id="rId1754" display="https://youtu.be/5cYClDjxwoo"/>
    <hyperlink ref="F1754" r:id="rId2" display="https://files.afu.se/Downloads/Transcripts/0%20-%20Government/USA%20-%20NASA%20Kennedy/"/>
    <hyperlink ref="C1755" r:id="rId1755" display="https://youtu.be/k1u7tX_4TyI"/>
    <hyperlink ref="F1755" r:id="rId2" display="https://files.afu.se/Downloads/Transcripts/0%20-%20Government/USA%20-%20NASA%20Kennedy/"/>
    <hyperlink ref="C1756" r:id="rId1756" display="https://youtu.be/2EDMGH1Esq4"/>
    <hyperlink ref="F1756" r:id="rId2" display="https://files.afu.se/Downloads/Transcripts/0%20-%20Government/USA%20-%20NASA%20Kennedy/"/>
    <hyperlink ref="C1757" r:id="rId1757" display="https://youtu.be/6W7Ld-JxQuw"/>
    <hyperlink ref="F1757" r:id="rId2" display="https://files.afu.se/Downloads/Transcripts/0%20-%20Government/USA%20-%20NASA%20Kennedy/"/>
    <hyperlink ref="C1758" r:id="rId1758" display="https://youtu.be/SmML27JfjIc"/>
    <hyperlink ref="F1758" r:id="rId2" display="https://files.afu.se/Downloads/Transcripts/0%20-%20Government/USA%20-%20NASA%20Kennedy/"/>
    <hyperlink ref="C1759" r:id="rId1759" display="https://youtu.be/ZCOPYSk6-t0"/>
    <hyperlink ref="F1759" r:id="rId2" display="https://files.afu.se/Downloads/Transcripts/0%20-%20Government/USA%20-%20NASA%20Kennedy/"/>
    <hyperlink ref="C1760" r:id="rId1760" display="https://youtu.be/xnoJoRtJFsk"/>
    <hyperlink ref="F1760" r:id="rId2" display="https://files.afu.se/Downloads/Transcripts/0%20-%20Government/USA%20-%20NASA%20Kennedy/"/>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2023-07-01T21:17:00Z</dcterms:created>
  <dcterms:modified xsi:type="dcterms:W3CDTF">2023-07-05T13:05:30Z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46FC8672CFA34EDDBC81E7C1A897548E</vt:lpwstr>
  </property>
  <property fmtid="{D5CDD505-2E9C-101B-9397-08002B2CF9AE}" pid="3" name="KSOProductBuildVer">
    <vt:lpwstr>2057-11.2.0.11417</vt:lpwstr>
  </property>
</Properties>
</file>